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20115" windowHeight="7995" tabRatio="681" activeTab="4"/>
  </bookViews>
  <sheets>
    <sheet name="INSTRUCTIONS" sheetId="6" r:id="rId1"/>
    <sheet name="P1 - 20 Pts" sheetId="2" r:id="rId2"/>
    <sheet name="P2 - 10 Pts" sheetId="3" r:id="rId3"/>
    <sheet name="P3 - 25 Pts" sheetId="1" r:id="rId4"/>
    <sheet name="P4 - 10 Pts" sheetId="4" r:id="rId5"/>
    <sheet name="P5 - 25 Pts" sheetId="5" r:id="rId6"/>
    <sheet name="P5 - No New Financing" sheetId="7" r:id="rId7"/>
  </sheets>
  <definedNames>
    <definedName name="_xlnm.Print_Area" localSheetId="5">'P5 - 25 Pts'!$B$38:$F$76</definedName>
  </definedNames>
  <calcPr calcId="125725"/>
</workbook>
</file>

<file path=xl/calcChain.xml><?xml version="1.0" encoding="utf-8"?>
<calcChain xmlns="http://schemas.openxmlformats.org/spreadsheetml/2006/main">
  <c r="D24" i="4"/>
  <c r="D20" i="1"/>
  <c r="I63" i="7" l="1"/>
  <c r="H63"/>
  <c r="J63" s="1"/>
  <c r="F58"/>
  <c r="I56"/>
  <c r="H56"/>
  <c r="J56" s="1"/>
  <c r="I55"/>
  <c r="H55"/>
  <c r="J55" s="1"/>
  <c r="F47"/>
  <c r="F45"/>
  <c r="F59" s="1"/>
  <c r="F60" s="1"/>
  <c r="I43"/>
  <c r="H43"/>
  <c r="J43" s="1"/>
  <c r="I41"/>
  <c r="H41"/>
  <c r="J41" s="1"/>
  <c r="F40"/>
  <c r="I63" i="5"/>
  <c r="H63"/>
  <c r="F58"/>
  <c r="I56"/>
  <c r="H56"/>
  <c r="J56" s="1"/>
  <c r="F56" s="1"/>
  <c r="I55"/>
  <c r="H55"/>
  <c r="J55" s="1"/>
  <c r="F55" s="1"/>
  <c r="F57" s="1"/>
  <c r="F47"/>
  <c r="F45"/>
  <c r="F59" s="1"/>
  <c r="I43"/>
  <c r="H43"/>
  <c r="J43" s="1"/>
  <c r="I41"/>
  <c r="H41"/>
  <c r="J41" s="1"/>
  <c r="F40"/>
  <c r="F43" s="1"/>
  <c r="D74" i="4"/>
  <c r="D62"/>
  <c r="D47"/>
  <c r="D13"/>
  <c r="E87" i="1"/>
  <c r="D78"/>
  <c r="D68"/>
  <c r="D43"/>
  <c r="D13" i="3"/>
  <c r="E13"/>
  <c r="F58" i="2"/>
  <c r="F59"/>
  <c r="F60"/>
  <c r="F61"/>
  <c r="F62"/>
  <c r="F63"/>
  <c r="F64"/>
  <c r="F65"/>
  <c r="F66"/>
  <c r="F67"/>
  <c r="F68"/>
  <c r="F69"/>
  <c r="F70"/>
  <c r="F71"/>
  <c r="F72"/>
  <c r="F73"/>
  <c r="F74"/>
  <c r="F75"/>
  <c r="F76"/>
  <c r="F77"/>
  <c r="F78"/>
  <c r="F79"/>
  <c r="F80"/>
  <c r="F81"/>
  <c r="E58"/>
  <c r="G58"/>
  <c r="E59"/>
  <c r="G59"/>
  <c r="E60"/>
  <c r="G60"/>
  <c r="E61"/>
  <c r="G61"/>
  <c r="E62"/>
  <c r="G62"/>
  <c r="E63"/>
  <c r="G63"/>
  <c r="E64"/>
  <c r="G64"/>
  <c r="E65"/>
  <c r="G65"/>
  <c r="E66"/>
  <c r="G66"/>
  <c r="E67"/>
  <c r="G67"/>
  <c r="E68"/>
  <c r="G68"/>
  <c r="E69"/>
  <c r="G69"/>
  <c r="E70"/>
  <c r="G70"/>
  <c r="E71"/>
  <c r="G71"/>
  <c r="E72"/>
  <c r="G72"/>
  <c r="E73"/>
  <c r="G73"/>
  <c r="E74"/>
  <c r="G74"/>
  <c r="E75"/>
  <c r="G75"/>
  <c r="E76"/>
  <c r="G76"/>
  <c r="E77"/>
  <c r="G77"/>
  <c r="E78"/>
  <c r="G78"/>
  <c r="E79"/>
  <c r="G79"/>
  <c r="E80"/>
  <c r="G80"/>
  <c r="E81"/>
  <c r="G81"/>
  <c r="D58"/>
  <c r="D59"/>
  <c r="D60"/>
  <c r="D61"/>
  <c r="D62"/>
  <c r="D63"/>
  <c r="D64"/>
  <c r="D65"/>
  <c r="D66"/>
  <c r="D67"/>
  <c r="D68"/>
  <c r="D69"/>
  <c r="D70"/>
  <c r="D71"/>
  <c r="D72"/>
  <c r="D73"/>
  <c r="D74"/>
  <c r="D75"/>
  <c r="D76"/>
  <c r="D77"/>
  <c r="D78"/>
  <c r="D79"/>
  <c r="D80"/>
  <c r="D81"/>
  <c r="D22"/>
  <c r="G21"/>
  <c r="E22" s="1"/>
  <c r="E54" i="1"/>
  <c r="E55" s="1"/>
  <c r="E56" s="1"/>
  <c r="E57" s="1"/>
  <c r="E58" s="1"/>
  <c r="E27"/>
  <c r="E28" s="1"/>
  <c r="E31" s="1"/>
  <c r="F22" i="2" l="1"/>
  <c r="G22" s="1"/>
  <c r="E23" s="1"/>
  <c r="F61" i="5"/>
  <c r="F60"/>
  <c r="D57" i="2"/>
  <c r="D55"/>
  <c r="D53"/>
  <c r="D51"/>
  <c r="D49"/>
  <c r="D47"/>
  <c r="D45"/>
  <c r="D43"/>
  <c r="D41"/>
  <c r="D39"/>
  <c r="D37"/>
  <c r="D35"/>
  <c r="D33"/>
  <c r="D31"/>
  <c r="D29"/>
  <c r="D27"/>
  <c r="D25"/>
  <c r="J63" i="5"/>
  <c r="F63" s="1"/>
  <c r="F66" s="1"/>
  <c r="F68" s="1"/>
  <c r="D23" i="2"/>
  <c r="F23" s="1"/>
  <c r="D56"/>
  <c r="D54"/>
  <c r="D52"/>
  <c r="D50"/>
  <c r="D48"/>
  <c r="D46"/>
  <c r="D44"/>
  <c r="D42"/>
  <c r="D40"/>
  <c r="D38"/>
  <c r="D36"/>
  <c r="D34"/>
  <c r="D32"/>
  <c r="D30"/>
  <c r="D28"/>
  <c r="D26"/>
  <c r="D24"/>
  <c r="F41" i="5"/>
  <c r="F42" s="1"/>
  <c r="F46" s="1"/>
  <c r="F48" s="1"/>
  <c r="F56" i="7"/>
  <c r="F43"/>
  <c r="F41"/>
  <c r="F42" s="1"/>
  <c r="F63"/>
  <c r="F66" s="1"/>
  <c r="F68" s="1"/>
  <c r="F55"/>
  <c r="F57" s="1"/>
  <c r="F61" s="1"/>
  <c r="E29" i="1"/>
  <c r="E30" s="1"/>
  <c r="F49" i="5" l="1"/>
  <c r="F50" s="1"/>
  <c r="F70" s="1"/>
  <c r="F71" s="1"/>
  <c r="F72" s="1"/>
  <c r="F75" s="1"/>
  <c r="G23" i="2"/>
  <c r="E24" s="1"/>
  <c r="F46" i="7"/>
  <c r="F48" s="1"/>
  <c r="F49" s="1"/>
  <c r="G24" i="2"/>
  <c r="E25" s="1"/>
  <c r="F24"/>
  <c r="F50" i="7" l="1"/>
  <c r="F70" s="1"/>
  <c r="F71" s="1"/>
  <c r="F72" s="1"/>
  <c r="F75" s="1"/>
  <c r="F25" i="2"/>
  <c r="G25" s="1"/>
  <c r="E26" l="1"/>
  <c r="F26" s="1"/>
  <c r="G26" s="1"/>
  <c r="E27" l="1"/>
  <c r="F27" s="1"/>
  <c r="G27" s="1"/>
  <c r="E28" s="1"/>
  <c r="G28" l="1"/>
  <c r="E29" s="1"/>
  <c r="F28"/>
  <c r="F29" l="1"/>
  <c r="G29" s="1"/>
  <c r="E30" l="1"/>
  <c r="F30" s="1"/>
  <c r="G30" s="1"/>
  <c r="E31" s="1"/>
  <c r="F31" l="1"/>
  <c r="G31" s="1"/>
  <c r="E32" s="1"/>
  <c r="F32" l="1"/>
  <c r="G32" s="1"/>
  <c r="E33" s="1"/>
  <c r="F33" l="1"/>
  <c r="G33" s="1"/>
  <c r="E34" l="1"/>
  <c r="F34" s="1"/>
  <c r="G34" s="1"/>
  <c r="E35" l="1"/>
  <c r="F35" s="1"/>
  <c r="G35" s="1"/>
  <c r="E36" s="1"/>
  <c r="F36" l="1"/>
  <c r="G36" s="1"/>
  <c r="E37" s="1"/>
  <c r="F37" l="1"/>
  <c r="G37" s="1"/>
  <c r="E38" l="1"/>
  <c r="F38" s="1"/>
  <c r="G38" s="1"/>
  <c r="E39" l="1"/>
  <c r="F39" s="1"/>
  <c r="G39" s="1"/>
  <c r="E40" s="1"/>
  <c r="G40" l="1"/>
  <c r="E41" s="1"/>
  <c r="F40"/>
  <c r="G41" l="1"/>
  <c r="F41"/>
  <c r="E42" l="1"/>
  <c r="F42" s="1"/>
  <c r="G42" s="1"/>
  <c r="E43" s="1"/>
  <c r="F43" s="1"/>
  <c r="G43" s="1"/>
  <c r="E44" l="1"/>
  <c r="G44" l="1"/>
  <c r="E45" s="1"/>
  <c r="F44"/>
  <c r="G45" l="1"/>
  <c r="F45"/>
  <c r="G46" l="1"/>
  <c r="E47" s="1"/>
  <c r="F47" s="1"/>
  <c r="G47" s="1"/>
  <c r="E46"/>
  <c r="F46" s="1"/>
  <c r="E48" l="1"/>
  <c r="G48" l="1"/>
  <c r="E49" s="1"/>
  <c r="F48"/>
  <c r="F49" l="1"/>
  <c r="G49" s="1"/>
  <c r="E50" l="1"/>
  <c r="F50" s="1"/>
  <c r="G50" s="1"/>
  <c r="E51" l="1"/>
  <c r="F51" s="1"/>
  <c r="G51" s="1"/>
  <c r="E52" s="1"/>
  <c r="G52" l="1"/>
  <c r="E53" s="1"/>
  <c r="F52"/>
  <c r="F53" l="1"/>
  <c r="G53" s="1"/>
  <c r="E54" l="1"/>
  <c r="F54" s="1"/>
  <c r="G54" s="1"/>
  <c r="E55" s="1"/>
  <c r="F55" s="1"/>
  <c r="G55" l="1"/>
  <c r="E56" s="1"/>
  <c r="F56" l="1"/>
  <c r="G56" s="1"/>
  <c r="E57" s="1"/>
  <c r="G57" l="1"/>
  <c r="F57"/>
</calcChain>
</file>

<file path=xl/sharedStrings.xml><?xml version="1.0" encoding="utf-8"?>
<sst xmlns="http://schemas.openxmlformats.org/spreadsheetml/2006/main" count="238" uniqueCount="156">
  <si>
    <t>Each question on this page counts 2 points.</t>
  </si>
  <si>
    <t>1.</t>
  </si>
  <si>
    <t>Annual Deposit into account beginning today:</t>
  </si>
  <si>
    <t>Annual Interest Rate:</t>
  </si>
  <si>
    <t>Number of Deposits beginning now:</t>
  </si>
  <si>
    <t xml:space="preserve"> -- Must be 10 or less</t>
  </si>
  <si>
    <t xml:space="preserve">Suppose you are going to save for a special present for your spouse on </t>
  </si>
  <si>
    <t>deposits in an account with the first deposit being made today. In the yellow cell</t>
  </si>
  <si>
    <t>below, create one formula that computes the amount that will be in the account</t>
  </si>
  <si>
    <t>2.</t>
  </si>
  <si>
    <t>Consider the following annual cash flows, each to be received at the end of</t>
  </si>
  <si>
    <t>a year.</t>
  </si>
  <si>
    <t>Year</t>
  </si>
  <si>
    <t>Payment</t>
  </si>
  <si>
    <t xml:space="preserve"> &lt;-- Input</t>
  </si>
  <si>
    <t>Required annual return:</t>
  </si>
  <si>
    <t xml:space="preserve">The cash flows in years 1 through 6 will always be equal, but the </t>
  </si>
  <si>
    <t>cash flow in year 7 can be any number, including a negative number.</t>
  </si>
  <si>
    <t>In the yellow cell below, create a formula that computes the dollar value</t>
  </si>
  <si>
    <t>of the investment today. DO NOT use the =NPV() function.</t>
  </si>
  <si>
    <t>Your formula should correctly reference the input cells above.</t>
  </si>
  <si>
    <t>3.</t>
  </si>
  <si>
    <t>The cash flows in years 5 through 10 will always be equal.</t>
  </si>
  <si>
    <t>of the investment today. NO NOT use the =NPV() function.</t>
  </si>
  <si>
    <t>4.</t>
  </si>
  <si>
    <t>5.</t>
  </si>
  <si>
    <t>Each question on this page counts 5 points.</t>
  </si>
  <si>
    <t>Consider the following inputs for a loan:</t>
  </si>
  <si>
    <t>Amount of Loan:</t>
  </si>
  <si>
    <t>Annual Interest Rate on Loan:</t>
  </si>
  <si>
    <t>Balloon Payment</t>
  </si>
  <si>
    <t>Payment
Number</t>
  </si>
  <si>
    <t>Interest</t>
  </si>
  <si>
    <t>Principal</t>
  </si>
  <si>
    <t>Balance</t>
  </si>
  <si>
    <t xml:space="preserve"> </t>
  </si>
  <si>
    <t>Term of Loan in Years</t>
  </si>
  <si>
    <t>Years</t>
  </si>
  <si>
    <t>This loan has monthly payments</t>
  </si>
  <si>
    <t>The term of the loan can be 1, 2, 3, 4, or 5 years.</t>
  </si>
  <si>
    <t xml:space="preserve">payment, the principal portion of the payment, and the balance immediately after the payment only if the </t>
  </si>
  <si>
    <t>row is still within the loan term. If the row represents a payment number that is past the end of the loan's</t>
  </si>
  <si>
    <t>that automatically calculates the future value of the investment</t>
  </si>
  <si>
    <t>represented in the inputs at the ends of each of the years 1-10</t>
  </si>
  <si>
    <t>Amount Invested at t=0:</t>
  </si>
  <si>
    <t>Annual Interest Rate</t>
  </si>
  <si>
    <t>FV with
Simple
Interest</t>
  </si>
  <si>
    <t>FV with
Compound
Interest</t>
  </si>
  <si>
    <r>
      <t>Using the inputs below, create a</t>
    </r>
    <r>
      <rPr>
        <b/>
        <u val="singleAccounting"/>
        <sz val="11"/>
        <color rgb="FFFF0000"/>
        <rFont val="Calibri"/>
        <family val="2"/>
        <scheme val="minor"/>
      </rPr>
      <t xml:space="preserve"> DATA TABLE</t>
    </r>
    <r>
      <rPr>
        <b/>
        <u val="singleAccounting"/>
        <sz val="11"/>
        <color theme="1"/>
        <rFont val="Calibri"/>
        <family val="2"/>
        <scheme val="minor"/>
      </rPr>
      <t xml:space="preserve"> </t>
    </r>
    <r>
      <rPr>
        <sz val="11"/>
        <color theme="1"/>
        <rFont val="Calibri"/>
        <family val="2"/>
        <scheme val="minor"/>
      </rPr>
      <t>in the space provided</t>
    </r>
  </si>
  <si>
    <t>Monthly Payment:</t>
  </si>
  <si>
    <t>Term of Loan in Years:</t>
  </si>
  <si>
    <t xml:space="preserve">Balloon Payment: </t>
  </si>
  <si>
    <t xml:space="preserve">In the yellow cell below, create a forumla that computes the </t>
  </si>
  <si>
    <t>amount that you could borrow now. Your formula should correctly</t>
  </si>
  <si>
    <t>reference the input cells above.</t>
  </si>
  <si>
    <t>In the yellow cell below, create a formula that computes the number of</t>
  </si>
  <si>
    <t>YEARS that it will take to pay off the loan. The number of years will not</t>
  </si>
  <si>
    <t>be a whole number. Your formula should correctly reference the input</t>
  </si>
  <si>
    <t>cells above.</t>
  </si>
  <si>
    <t>Cost of Investment Above:</t>
  </si>
  <si>
    <t>Your required rate of return:</t>
  </si>
  <si>
    <t>In the yellow cell below, create one formula that computes the net present</t>
  </si>
  <si>
    <t>value of the investment shown above. The net present value is the present value</t>
  </si>
  <si>
    <t>of the future cash flows less the cost of the investment.</t>
  </si>
  <si>
    <t>Your formula should work for any values of the inputs.</t>
  </si>
  <si>
    <t>Input Cell to Test   -------&gt;</t>
  </si>
  <si>
    <t>Create a formula in the yellow cell below that will show the word GREATER</t>
  </si>
  <si>
    <t>if the number in the input cell above is greater than 10, will show the word</t>
  </si>
  <si>
    <t>SMALLER if the number in the input cell is less than 10, and will show the word</t>
  </si>
  <si>
    <t>EQUAL if the number in the input cell is 10.</t>
  </si>
  <si>
    <t>Consider the following loan:</t>
  </si>
  <si>
    <t>Amount of Loan</t>
  </si>
  <si>
    <t>This is a MONTLY payment loan.</t>
  </si>
  <si>
    <t>In the yellow cell below, create ONE formula that computes the</t>
  </si>
  <si>
    <t>total dollar amount of interest that will be paid over the life of this</t>
  </si>
  <si>
    <t>loan.</t>
  </si>
  <si>
    <t xml:space="preserve">In the green cell below, create a formala that extrapolates the linear trend from the </t>
  </si>
  <si>
    <t>5 years of sales and uses it to estimate 2010 sales.</t>
  </si>
  <si>
    <t>Sales</t>
  </si>
  <si>
    <t>CGS</t>
  </si>
  <si>
    <t>Net Income</t>
  </si>
  <si>
    <t xml:space="preserve">In the yellow cell below, create ONE formula that will return </t>
  </si>
  <si>
    <t>Input Cell for Year</t>
  </si>
  <si>
    <t xml:space="preserve">the Net Income from the table at the right for the year </t>
  </si>
  <si>
    <t>given in the input cell.</t>
  </si>
  <si>
    <t>In the space below, create an amortization table that will work for any values of the inputs.</t>
  </si>
  <si>
    <t>Income Statement</t>
  </si>
  <si>
    <t>2008</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</si>
  <si>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</si>
  <si>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</si>
  <si>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</si>
  <si>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</si>
  <si>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</si>
  <si>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</si>
  <si>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</si>
  <si>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</si>
  <si>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</si>
  <si>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</si>
  <si>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</si>
  <si>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</si>
  <si>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</si>
  <si>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</si>
  <si>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</si>
  <si>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</si>
  <si>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</si>
  <si>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</si>
  <si>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</si>
  <si>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</si>
  <si>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</si>
  <si>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</si>
  <si>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</si>
  <si>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</si>
  <si>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</si>
  <si>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</si>
  <si>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</si>
  <si>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</si>
  <si>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</si>
  <si>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</si>
  <si>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</si>
  <si>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</si>
  <si>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</si>
  <si>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</si>
  <si>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</si>
  <si>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</si>
  <si>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</si>
  <si>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VIDEO SURVEILLANCE IS ACTIVE.</t>
  </si>
  <si>
    <t>Points are shown on each tab. Partial credit will be given where possible.</t>
  </si>
  <si>
    <t>Follow the instructions on each tabbed page.</t>
  </si>
  <si>
    <t>out of 100. That is, it is possible to score more than 100 on the exam. Anything</t>
  </si>
  <si>
    <t>over 100 should be considered extra credit for exceptional work.</t>
  </si>
  <si>
    <t>Submit your finished file in the digital dropbox in BlackBoard.</t>
  </si>
  <si>
    <t>Percent Change in Sales from 2009</t>
  </si>
  <si>
    <t>Tax Rate for 2010</t>
  </si>
  <si>
    <t>Interest Rate on Long Term Debt</t>
  </si>
  <si>
    <t>Interest Rate on Short Term Notes Payable</t>
  </si>
  <si>
    <t>Common Stock Dividend for 2010</t>
  </si>
  <si>
    <t>Expected addition to Plant and Equipment in 2010</t>
  </si>
  <si>
    <t>Additional depreciation on new Plant/Equip in 2010</t>
  </si>
  <si>
    <t>INPUTS</t>
  </si>
  <si>
    <t>Excess/(Deficit) Financing for 2010</t>
  </si>
  <si>
    <t xml:space="preserve">You start with 20 points gifted to you. That makes the highest possible score 110. </t>
  </si>
  <si>
    <t>Check with Dr. Hawley before you leave to be sure that your</t>
  </si>
  <si>
    <t>exam was received.</t>
  </si>
  <si>
    <t>There are 7 tabbed pages in this exam spreadsheet including this one.</t>
  </si>
  <si>
    <t>The last page is currently blank.</t>
  </si>
  <si>
    <t>COMPUTER YOU ARE USING. WITH YOUR NAME IN THE FILENAME.</t>
  </si>
  <si>
    <t>RESAVE IT OFTEN WHILE YOU ARE WORKING ON IT.</t>
  </si>
  <si>
    <t xml:space="preserve">YOUR COMPLETED EXAM IN BLACKBOARD. YOU MAY ACCESS </t>
  </si>
  <si>
    <t>EXCEL'S HELP SYSTEM.</t>
  </si>
  <si>
    <t>Each row of your table should show the monthly payment, the interest portion of the</t>
  </si>
  <si>
    <t xml:space="preserve">term, as specified by the input in F6, then the row should show nothing (cells are blank) except for the </t>
  </si>
  <si>
    <t>payment number in column C. All visible numbers in the table should be positive values.</t>
  </si>
  <si>
    <t>for simple interest in column D and for compound interest in Column E.</t>
  </si>
  <si>
    <t>Years Invested</t>
  </si>
  <si>
    <t>your anniversary 15 years from now. You plan to make between 1 and 10 annual</t>
  </si>
  <si>
    <t>15 years from now given the inputs above.</t>
  </si>
</sst>
</file>

<file path=xl/styles.xml><?xml version="1.0" encoding="utf-8"?>
<styleSheet xmlns="http://schemas.openxmlformats.org/spreadsheetml/2006/main">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
  </numFmts>
  <fonts count="1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u/>
      <sz val="14"/>
      <color theme="1"/>
      <name val="Calibri"/>
      <family val="2"/>
      <scheme val="minor"/>
    </font>
    <font>
      <u val="singleAccounting"/>
      <sz val="11"/>
      <color theme="1"/>
      <name val="Calibri"/>
      <family val="2"/>
      <scheme val="minor"/>
    </font>
    <font>
      <b/>
      <u val="singleAccounting"/>
      <sz val="11"/>
      <color theme="1"/>
      <name val="Calibri"/>
      <family val="2"/>
      <scheme val="minor"/>
    </font>
    <font>
      <b/>
      <u val="singleAccounting"/>
      <sz val="11"/>
      <color rgb="FFFF0000"/>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4" fillId="0" borderId="0" xfId="0" applyFont="1"/>
    <xf numFmtId="0" fontId="0" fillId="0" borderId="0" xfId="0" quotePrefix="1"/>
    <xf numFmtId="6" fontId="2" fillId="0" borderId="0" xfId="0" applyNumberFormat="1" applyFont="1"/>
    <xf numFmtId="10" fontId="2" fillId="0" borderId="0" xfId="0" applyNumberFormat="1" applyFont="1"/>
    <xf numFmtId="0" fontId="2" fillId="0" borderId="0" xfId="0" applyFont="1"/>
    <xf numFmtId="8" fontId="0" fillId="0" borderId="0" xfId="0" applyNumberFormat="1"/>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164" fontId="1" fillId="0" borderId="7" xfId="2" applyNumberFormat="1" applyFont="1" applyBorder="1" applyAlignment="1">
      <alignment horizontal="center"/>
    </xf>
    <xf numFmtId="164" fontId="1" fillId="0" borderId="8" xfId="2" applyNumberFormat="1"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2" fillId="3" borderId="11" xfId="2" applyNumberFormat="1" applyFont="1" applyFill="1" applyBorder="1" applyAlignment="1">
      <alignment horizontal="center"/>
    </xf>
    <xf numFmtId="164" fontId="2" fillId="3" borderId="7" xfId="2" applyNumberFormat="1" applyFont="1" applyFill="1" applyBorder="1" applyAlignment="1">
      <alignment horizontal="center"/>
    </xf>
    <xf numFmtId="164" fontId="1" fillId="0" borderId="12" xfId="2" applyNumberFormat="1" applyFont="1" applyBorder="1" applyAlignment="1">
      <alignment horizontal="center"/>
    </xf>
    <xf numFmtId="9" fontId="2" fillId="0" borderId="0" xfId="0" applyNumberFormat="1" applyFont="1"/>
    <xf numFmtId="44" fontId="0" fillId="2" borderId="1" xfId="2" applyFont="1" applyFill="1" applyBorder="1"/>
    <xf numFmtId="42" fontId="0" fillId="0" borderId="0" xfId="0" applyNumberFormat="1"/>
    <xf numFmtId="42" fontId="2" fillId="0" borderId="0" xfId="0" applyNumberFormat="1" applyFont="1"/>
    <xf numFmtId="0" fontId="0" fillId="0" borderId="0" xfId="0" applyAlignment="1">
      <alignment horizontal="left" indent="3"/>
    </xf>
    <xf numFmtId="0" fontId="3" fillId="0" borderId="0" xfId="0" applyFont="1" applyAlignment="1">
      <alignment horizontal="left" indent="3"/>
    </xf>
    <xf numFmtId="0" fontId="0" fillId="0" borderId="13" xfId="0" applyBorder="1"/>
    <xf numFmtId="0" fontId="3" fillId="4" borderId="2" xfId="0" applyFont="1" applyFill="1" applyBorder="1" applyAlignment="1">
      <alignment horizontal="center" wrapText="1"/>
    </xf>
    <xf numFmtId="0" fontId="3" fillId="4" borderId="15"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xf>
    <xf numFmtId="43" fontId="0" fillId="0" borderId="0" xfId="1" applyFont="1"/>
    <xf numFmtId="6" fontId="0" fillId="0" borderId="0" xfId="1" applyNumberFormat="1" applyFont="1"/>
    <xf numFmtId="8" fontId="0" fillId="0" borderId="0" xfId="1" applyNumberFormat="1" applyFont="1"/>
    <xf numFmtId="0" fontId="0" fillId="0" borderId="0" xfId="0" applyAlignment="1">
      <alignment horizontal="left" indent="2"/>
    </xf>
    <xf numFmtId="0" fontId="0" fillId="0" borderId="0" xfId="0" applyBorder="1"/>
    <xf numFmtId="0" fontId="5" fillId="0" borderId="0" xfId="0" applyFont="1" applyAlignment="1">
      <alignment horizontal="left" indent="3"/>
    </xf>
    <xf numFmtId="0" fontId="3" fillId="0" borderId="0" xfId="0" applyFont="1"/>
    <xf numFmtId="42" fontId="0" fillId="0" borderId="0" xfId="0" applyNumberFormat="1" applyAlignment="1"/>
    <xf numFmtId="42" fontId="7" fillId="0" borderId="0" xfId="0" applyNumberFormat="1" applyFont="1" applyAlignment="1">
      <alignment horizontal="center"/>
    </xf>
    <xf numFmtId="42" fontId="7" fillId="0" borderId="0" xfId="0" applyNumberFormat="1" applyFont="1" applyAlignment="1">
      <alignment horizontal="center" wrapText="1"/>
    </xf>
    <xf numFmtId="0" fontId="3" fillId="0" borderId="0" xfId="0" applyNumberFormat="1" applyFont="1" applyAlignment="1">
      <alignment horizontal="center"/>
    </xf>
    <xf numFmtId="165" fontId="2" fillId="0" borderId="0" xfId="1" applyNumberFormat="1" applyFont="1"/>
    <xf numFmtId="43" fontId="0" fillId="2" borderId="1" xfId="1" applyFont="1" applyFill="1" applyBorder="1"/>
    <xf numFmtId="0" fontId="0" fillId="0" borderId="18" xfId="0" applyBorder="1" applyAlignment="1">
      <alignment horizontal="center"/>
    </xf>
    <xf numFmtId="164" fontId="2" fillId="0" borderId="6" xfId="2" applyNumberFormat="1" applyFont="1" applyBorder="1" applyAlignment="1">
      <alignment horizontal="center"/>
    </xf>
    <xf numFmtId="164" fontId="2" fillId="0" borderId="7" xfId="2" applyNumberFormat="1" applyFont="1" applyBorder="1" applyAlignment="1">
      <alignment horizontal="center"/>
    </xf>
    <xf numFmtId="0" fontId="0" fillId="0" borderId="14" xfId="0" applyBorder="1" applyAlignment="1">
      <alignment horizontal="center"/>
    </xf>
    <xf numFmtId="164" fontId="2" fillId="0" borderId="12" xfId="2" applyNumberFormat="1" applyFont="1" applyBorder="1" applyAlignment="1">
      <alignment horizontal="center"/>
    </xf>
    <xf numFmtId="0" fontId="2" fillId="0" borderId="1" xfId="0" applyFont="1" applyBorder="1"/>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18" xfId="0" applyFont="1" applyFill="1" applyBorder="1" applyAlignment="1">
      <alignment horizontal="center"/>
    </xf>
    <xf numFmtId="164" fontId="0" fillId="5" borderId="6" xfId="2" applyNumberFormat="1" applyFont="1" applyFill="1" applyBorder="1"/>
    <xf numFmtId="0" fontId="3" fillId="5" borderId="5" xfId="0" applyFont="1" applyFill="1" applyBorder="1" applyAlignment="1">
      <alignment horizontal="center"/>
    </xf>
    <xf numFmtId="164" fontId="0" fillId="5" borderId="7" xfId="2" applyNumberFormat="1" applyFont="1" applyFill="1" applyBorder="1"/>
    <xf numFmtId="0" fontId="3" fillId="5" borderId="14" xfId="0" applyFont="1" applyFill="1" applyBorder="1" applyAlignment="1">
      <alignment horizontal="center"/>
    </xf>
    <xf numFmtId="164" fontId="0" fillId="6" borderId="12" xfId="2" applyNumberFormat="1" applyFont="1" applyFill="1" applyBorder="1"/>
    <xf numFmtId="0" fontId="3" fillId="0" borderId="0" xfId="0" applyFont="1" applyAlignment="1">
      <alignment horizontal="center"/>
    </xf>
    <xf numFmtId="44" fontId="7"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10" fillId="7" borderId="19" xfId="0" quotePrefix="1" applyNumberFormat="1" applyFont="1" applyFill="1" applyBorder="1" applyAlignment="1">
      <alignment horizontal="center"/>
    </xf>
    <xf numFmtId="41" fontId="6" fillId="0" borderId="0" xfId="0" applyNumberFormat="1" applyFont="1"/>
    <xf numFmtId="41" fontId="0" fillId="0" borderId="13" xfId="0" applyNumberFormat="1" applyBorder="1"/>
    <xf numFmtId="41" fontId="10" fillId="7" borderId="19" xfId="0" applyNumberFormat="1" applyFont="1" applyFill="1" applyBorder="1"/>
    <xf numFmtId="41" fontId="11" fillId="0" borderId="0" xfId="0" applyNumberFormat="1" applyFont="1"/>
    <xf numFmtId="41" fontId="10" fillId="0" borderId="0" xfId="0" applyNumberFormat="1" applyFont="1"/>
    <xf numFmtId="41" fontId="10" fillId="0" borderId="13" xfId="0" applyNumberFormat="1" applyFont="1" applyBorder="1"/>
    <xf numFmtId="41" fontId="3" fillId="0" borderId="13" xfId="0" applyNumberFormat="1" applyFont="1" applyBorder="1"/>
    <xf numFmtId="41" fontId="10" fillId="7" borderId="20" xfId="0" quotePrefix="1" applyNumberFormat="1" applyFont="1" applyFill="1" applyBorder="1" applyAlignment="1">
      <alignment horizontal="center" vertical="center"/>
    </xf>
    <xf numFmtId="44" fontId="11" fillId="0" borderId="0" xfId="0" applyNumberFormat="1" applyFont="1" applyAlignment="1">
      <alignment horizontal="left" indent="1"/>
    </xf>
    <xf numFmtId="44" fontId="10" fillId="0" borderId="0" xfId="0" applyNumberFormat="1" applyFont="1"/>
    <xf numFmtId="44" fontId="10" fillId="0" borderId="13" xfId="0" applyNumberFormat="1" applyFont="1" applyBorder="1"/>
    <xf numFmtId="44" fontId="12" fillId="0" borderId="0" xfId="0" applyNumberFormat="1" applyFont="1" applyAlignment="1">
      <alignment horizontal="left" indent="1"/>
    </xf>
    <xf numFmtId="0" fontId="13" fillId="0" borderId="0" xfId="0" applyFont="1"/>
    <xf numFmtId="6" fontId="14" fillId="0" borderId="0" xfId="0" applyNumberFormat="1" applyFont="1"/>
    <xf numFmtId="41" fontId="3" fillId="0" borderId="0" xfId="0" applyNumberFormat="1" applyFont="1" applyAlignment="1">
      <alignment horizontal="left" indent="5"/>
    </xf>
    <xf numFmtId="41" fontId="3" fillId="0" borderId="13" xfId="0" applyNumberFormat="1" applyFont="1" applyBorder="1" applyAlignment="1">
      <alignment horizontal="left" indent="5"/>
    </xf>
    <xf numFmtId="6" fontId="14" fillId="0" borderId="13" xfId="0" applyNumberFormat="1" applyFont="1" applyBorder="1"/>
    <xf numFmtId="167" fontId="14" fillId="0" borderId="0" xfId="0" applyNumberFormat="1" applyFont="1"/>
    <xf numFmtId="166" fontId="14" fillId="0" borderId="0" xfId="0" applyNumberFormat="1" applyFont="1"/>
    <xf numFmtId="0" fontId="0" fillId="0" borderId="13" xfId="0" applyBorder="1" applyAlignment="1">
      <alignment horizontal="left" indent="3"/>
    </xf>
    <xf numFmtId="0" fontId="2" fillId="0" borderId="0" xfId="0" applyNumberFormat="1" applyFont="1"/>
    <xf numFmtId="44" fontId="0" fillId="0" borderId="0" xfId="2" applyFont="1" applyAlignment="1"/>
    <xf numFmtId="44" fontId="1" fillId="0" borderId="0" xfId="2" applyFont="1" applyAlignment="1"/>
    <xf numFmtId="44" fontId="1" fillId="0" borderId="0" xfId="2" applyFont="1"/>
    <xf numFmtId="8" fontId="0" fillId="2" borderId="1" xfId="2" applyNumberFormat="1" applyFont="1" applyFill="1" applyBorder="1"/>
    <xf numFmtId="8" fontId="0" fillId="2" borderId="1" xfId="0" applyNumberFormat="1" applyFill="1" applyBorder="1"/>
    <xf numFmtId="41" fontId="0" fillId="0" borderId="0" xfId="0" applyNumberFormat="1" applyFont="1"/>
    <xf numFmtId="10" fontId="0" fillId="0" borderId="0" xfId="3" applyNumberFormat="1" applyFont="1"/>
    <xf numFmtId="44" fontId="0" fillId="2" borderId="16" xfId="2" applyFont="1" applyFill="1" applyBorder="1"/>
    <xf numFmtId="44" fontId="0" fillId="2" borderId="17" xfId="2" applyFont="1" applyFill="1" applyBorder="1"/>
    <xf numFmtId="8" fontId="0" fillId="2" borderId="16" xfId="2" applyNumberFormat="1" applyFont="1" applyFill="1" applyBorder="1"/>
    <xf numFmtId="0" fontId="0" fillId="2" borderId="16" xfId="0" applyFill="1" applyBorder="1"/>
    <xf numFmtId="0" fontId="0" fillId="2" borderId="17" xfId="0" applyFill="1" applyBorder="1"/>
    <xf numFmtId="41" fontId="9" fillId="0" borderId="13" xfId="0" applyNumberFormat="1" applyFont="1" applyBorder="1" applyAlignment="1">
      <alignment horizontal="center"/>
    </xf>
    <xf numFmtId="41" fontId="10" fillId="7" borderId="20" xfId="0" applyNumberFormat="1" applyFont="1" applyFill="1" applyBorder="1" applyAlignment="1">
      <alignment horizontal="center" vertical="center"/>
    </xf>
    <xf numFmtId="41" fontId="10" fillId="7" borderId="20" xfId="0" quotePrefix="1" applyNumberFormat="1"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13</xdr:row>
      <xdr:rowOff>28575</xdr:rowOff>
    </xdr:from>
    <xdr:to>
      <xdr:col>11</xdr:col>
      <xdr:colOff>504825</xdr:colOff>
      <xdr:row>22</xdr:row>
      <xdr:rowOff>95250</xdr:rowOff>
    </xdr:to>
    <xdr:sp macro="" textlink="">
      <xdr:nvSpPr>
        <xdr:cNvPr id="2" name="Rectangle 1"/>
        <xdr:cNvSpPr/>
      </xdr:nvSpPr>
      <xdr:spPr>
        <a:xfrm>
          <a:off x="4181475" y="3000375"/>
          <a:ext cx="3524250" cy="1781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DO NOT WRITE FORMULAS IN CELLS D14:E23</a:t>
          </a:r>
        </a:p>
        <a:p>
          <a:pPr algn="ctr"/>
          <a:endParaRPr lang="en-US" sz="1100" b="1"/>
        </a:p>
        <a:p>
          <a:pPr algn="ctr"/>
          <a:r>
            <a:rPr lang="en-US" sz="1100" b="1"/>
            <a:t>THE</a:t>
          </a:r>
          <a:r>
            <a:rPr lang="en-US" sz="1100" b="1" baseline="0"/>
            <a:t> RESULTS IN THOSE CELLS MUST BE CREATED</a:t>
          </a:r>
        </a:p>
        <a:p>
          <a:pPr algn="ctr"/>
          <a:r>
            <a:rPr lang="en-US" sz="1100" b="1" baseline="0"/>
            <a:t>AUTOMATICALLY BY THE DATA TABLE FUNCTION</a:t>
          </a:r>
        </a:p>
        <a:p>
          <a:pPr algn="ctr"/>
          <a:endParaRPr lang="en-US" sz="1100" b="1" baseline="0"/>
        </a:p>
        <a:p>
          <a:pPr algn="ctr"/>
          <a:r>
            <a:rPr lang="en-US" sz="1100" b="1" baseline="0"/>
            <a:t>ALL VALUES IN THE TABLE SHOULD BE POSITIVE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25</xdr:row>
      <xdr:rowOff>149087</xdr:rowOff>
    </xdr:to>
    <xdr:sp macro="" textlink="">
      <xdr:nvSpPr>
        <xdr:cNvPr id="2" name="TextBox 1"/>
        <xdr:cNvSpPr txBox="1"/>
      </xdr:nvSpPr>
      <xdr:spPr>
        <a:xfrm>
          <a:off x="228599" y="180974"/>
          <a:ext cx="6458227" cy="4523548"/>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2010 pro forma income statement and balance sheet for the firm whose 2008 and 2009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2010 is expected to change with sales by 90% of the two-year arithmetic average of the proportion of this item in relation to sales</a:t>
          </a:r>
          <a:r>
            <a:rPr lang="en-US" sz="1100" b="1" baseline="0">
              <a:solidFill>
                <a:schemeClr val="dk1"/>
              </a:solidFill>
              <a:latin typeface="+mn-lt"/>
              <a:ea typeface="+mn-ea"/>
              <a:cs typeface="+mn-cs"/>
            </a:rPr>
            <a:t> for 2008 and 2009.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2008 and 2009</a:t>
          </a:r>
          <a:r>
            <a:rPr lang="en-US" sz="1100" b="1">
              <a:solidFill>
                <a:schemeClr val="dk1"/>
              </a:solidFill>
              <a:latin typeface="+mn-lt"/>
              <a:ea typeface="+mn-ea"/>
              <a:cs typeface="+mn-cs"/>
            </a:rPr>
            <a:t>.  The firm has planned an investment of $250,000 in new equipment </a:t>
          </a:r>
          <a:r>
            <a:rPr lang="en-US" sz="1100" b="1" baseline="0">
              <a:solidFill>
                <a:schemeClr val="dk1"/>
              </a:solidFill>
              <a:latin typeface="+mn-lt"/>
              <a:ea typeface="+mn-ea"/>
              <a:cs typeface="+mn-cs"/>
            </a:rPr>
            <a:t>in 2010.  This equipment will be depreciated at $50,000 per year. Depreciation on existing Plant/Equipment will be the same as it was in 2009.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2010 is computed on the 2009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2010 using the information above, the inputs below, and the values that are given in the statements. The 2010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2010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After you have completed the 2010 forecast, copy this page to the page named No New Financing so that it retains all formatting. Set the input for the percentage change in sales to the maximum value that would be possible if the firm obtains no new financing for 2010 -- leaving all other inputs at their original values. The rate must be accurate to three decimal places. Leave that page set with the needed rate.</a:t>
          </a:r>
          <a:endParaRPr lang="en-US" sz="1100" b="1">
            <a:solidFill>
              <a:schemeClr val="dk1"/>
            </a:solidFill>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25</xdr:row>
      <xdr:rowOff>149087</xdr:rowOff>
    </xdr:to>
    <xdr:sp macro="" textlink="">
      <xdr:nvSpPr>
        <xdr:cNvPr id="2" name="TextBox 1"/>
        <xdr:cNvSpPr txBox="1"/>
      </xdr:nvSpPr>
      <xdr:spPr>
        <a:xfrm>
          <a:off x="228599" y="180974"/>
          <a:ext cx="6457951" cy="4571863"/>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2010 pro forma income statement and balance sheet for the firm whose 2008 and 2009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2010 is expected to change with sales by 90% of the two-year arithmetic average of the proportion of this item in relation to sales</a:t>
          </a:r>
          <a:r>
            <a:rPr lang="en-US" sz="1100" b="1" baseline="0">
              <a:solidFill>
                <a:schemeClr val="dk1"/>
              </a:solidFill>
              <a:latin typeface="+mn-lt"/>
              <a:ea typeface="+mn-ea"/>
              <a:cs typeface="+mn-cs"/>
            </a:rPr>
            <a:t> for 2008 and 2009.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2008 and 2009</a:t>
          </a:r>
          <a:r>
            <a:rPr lang="en-US" sz="1100" b="1">
              <a:solidFill>
                <a:schemeClr val="dk1"/>
              </a:solidFill>
              <a:latin typeface="+mn-lt"/>
              <a:ea typeface="+mn-ea"/>
              <a:cs typeface="+mn-cs"/>
            </a:rPr>
            <a:t>.  The firm has planned an investment of $250,000 in new equipment </a:t>
          </a:r>
          <a:r>
            <a:rPr lang="en-US" sz="1100" b="1" baseline="0">
              <a:solidFill>
                <a:schemeClr val="dk1"/>
              </a:solidFill>
              <a:latin typeface="+mn-lt"/>
              <a:ea typeface="+mn-ea"/>
              <a:cs typeface="+mn-cs"/>
            </a:rPr>
            <a:t>in 2010.  This equipment will be depreciated at $50,000 per year. Depreciation on existing Plant/Equipment will be the same as it was in 2009.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2010 is computed on the 2009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2010 using the information above, the inputs below, and the values that are given in the statements. The 2010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2010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After you have completed the 2010 forecast, copy this page to the page named No New Financing so that it retains all formatting. Set the input for the percentage change in sales to the maximum value that would be possible if the firm obtains no new financing for 2010 -- leaving all other inputs at their original values. The rate must be accurate to three decimal places. Leave that page set with the needed rate.</a:t>
          </a:r>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B2:B31"/>
  <sheetViews>
    <sheetView zoomScale="145" zoomScaleNormal="145" workbookViewId="0">
      <selection activeCell="K8" sqref="K8"/>
    </sheetView>
  </sheetViews>
  <sheetFormatPr defaultRowHeight="15"/>
  <cols>
    <col min="1" max="1" width="2.85546875" customWidth="1"/>
  </cols>
  <sheetData>
    <row r="2" spans="2:2" ht="18.75">
      <c r="B2" s="77" t="s">
        <v>120</v>
      </c>
    </row>
    <row r="3" spans="2:2" ht="18.75">
      <c r="B3" s="77" t="s">
        <v>145</v>
      </c>
    </row>
    <row r="4" spans="2:2" ht="18.75">
      <c r="B4" s="77" t="s">
        <v>146</v>
      </c>
    </row>
    <row r="5" spans="2:2" ht="6" customHeight="1">
      <c r="B5" s="77"/>
    </row>
    <row r="6" spans="2:2" ht="18.75">
      <c r="B6" s="77" t="s">
        <v>121</v>
      </c>
    </row>
    <row r="7" spans="2:2" ht="18.75">
      <c r="B7" s="77" t="s">
        <v>122</v>
      </c>
    </row>
    <row r="8" spans="2:2" ht="18.75">
      <c r="B8" s="77" t="s">
        <v>123</v>
      </c>
    </row>
    <row r="9" spans="2:2" ht="8.4499999999999993" customHeight="1">
      <c r="B9" s="77"/>
    </row>
    <row r="10" spans="2:2" ht="16.5" customHeight="1">
      <c r="B10" s="77" t="s">
        <v>124</v>
      </c>
    </row>
    <row r="11" spans="2:2" ht="16.5" customHeight="1">
      <c r="B11" s="77" t="s">
        <v>147</v>
      </c>
    </row>
    <row r="12" spans="2:2" ht="16.5" customHeight="1">
      <c r="B12" s="77" t="s">
        <v>148</v>
      </c>
    </row>
    <row r="13" spans="2:2" ht="4.5" customHeight="1">
      <c r="B13" s="77"/>
    </row>
    <row r="14" spans="2:2" ht="6" customHeight="1">
      <c r="B14" s="77"/>
    </row>
    <row r="15" spans="2:2" ht="16.5" customHeight="1">
      <c r="B15" s="77" t="s">
        <v>125</v>
      </c>
    </row>
    <row r="16" spans="2:2" ht="8.4499999999999993" customHeight="1">
      <c r="B16" s="77"/>
    </row>
    <row r="17" spans="2:2">
      <c r="B17" t="s">
        <v>143</v>
      </c>
    </row>
    <row r="18" spans="2:2" ht="15" customHeight="1">
      <c r="B18" t="s">
        <v>144</v>
      </c>
    </row>
    <row r="19" spans="2:2" ht="8.1" customHeight="1">
      <c r="B19" s="77"/>
    </row>
    <row r="20" spans="2:2">
      <c r="B20" t="s">
        <v>126</v>
      </c>
    </row>
    <row r="21" spans="2:2" ht="7.5" customHeight="1"/>
    <row r="22" spans="2:2">
      <c r="B22" t="s">
        <v>127</v>
      </c>
    </row>
    <row r="23" spans="2:2" ht="5.45" customHeight="1"/>
    <row r="24" spans="2:2">
      <c r="B24" t="s">
        <v>140</v>
      </c>
    </row>
    <row r="25" spans="2:2">
      <c r="B25" t="s">
        <v>128</v>
      </c>
    </row>
    <row r="26" spans="2:2">
      <c r="B26" t="s">
        <v>129</v>
      </c>
    </row>
    <row r="27" spans="2:2" ht="7.5" customHeight="1"/>
    <row r="28" spans="2:2" ht="18.75">
      <c r="B28" s="77" t="s">
        <v>130</v>
      </c>
    </row>
    <row r="29" spans="2:2" ht="7.5" customHeight="1"/>
    <row r="30" spans="2:2" ht="18.75">
      <c r="B30" s="77" t="s">
        <v>141</v>
      </c>
    </row>
    <row r="31" spans="2:2" ht="18.75">
      <c r="B31" s="77"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2:W81"/>
  <sheetViews>
    <sheetView zoomScale="115" zoomScaleNormal="115" workbookViewId="0">
      <selection activeCell="J9" sqref="J9"/>
    </sheetView>
  </sheetViews>
  <sheetFormatPr defaultRowHeight="15"/>
  <cols>
    <col min="1" max="2" width="2.85546875" customWidth="1"/>
    <col min="3" max="7" width="18.42578125" customWidth="1"/>
    <col min="8" max="9" width="8.85546875" customWidth="1"/>
  </cols>
  <sheetData>
    <row r="2" spans="3:23">
      <c r="C2" s="37" t="s">
        <v>27</v>
      </c>
    </row>
    <row r="3" spans="3:23">
      <c r="W3">
        <v>1</v>
      </c>
    </row>
    <row r="4" spans="3:23">
      <c r="C4" s="24" t="s">
        <v>28</v>
      </c>
      <c r="F4" s="3">
        <v>250000</v>
      </c>
      <c r="W4">
        <v>2</v>
      </c>
    </row>
    <row r="5" spans="3:23">
      <c r="C5" s="24" t="s">
        <v>29</v>
      </c>
      <c r="F5" s="4">
        <v>9.5000000000000001E-2</v>
      </c>
      <c r="W5">
        <v>3</v>
      </c>
    </row>
    <row r="6" spans="3:23">
      <c r="C6" s="24" t="s">
        <v>36</v>
      </c>
      <c r="F6" s="5">
        <v>3</v>
      </c>
      <c r="G6" t="s">
        <v>37</v>
      </c>
      <c r="W6">
        <v>4</v>
      </c>
    </row>
    <row r="7" spans="3:23">
      <c r="C7" s="24" t="s">
        <v>30</v>
      </c>
      <c r="F7" s="3">
        <v>50000</v>
      </c>
      <c r="W7">
        <v>5</v>
      </c>
    </row>
    <row r="8" spans="3:23">
      <c r="C8" s="24"/>
      <c r="G8" s="3"/>
    </row>
    <row r="9" spans="3:23" ht="18.75">
      <c r="C9" s="36" t="s">
        <v>38</v>
      </c>
      <c r="G9" s="3"/>
    </row>
    <row r="11" spans="3:23">
      <c r="C11" s="24" t="s">
        <v>85</v>
      </c>
    </row>
    <row r="12" spans="3:23">
      <c r="C12" s="24" t="s">
        <v>39</v>
      </c>
    </row>
    <row r="13" spans="3:23">
      <c r="C13" s="24" t="s">
        <v>149</v>
      </c>
    </row>
    <row r="14" spans="3:23">
      <c r="C14" s="24" t="s">
        <v>40</v>
      </c>
    </row>
    <row r="15" spans="3:23">
      <c r="C15" s="24" t="s">
        <v>41</v>
      </c>
    </row>
    <row r="16" spans="3:23">
      <c r="C16" s="24" t="s">
        <v>150</v>
      </c>
    </row>
    <row r="17" spans="3:19" ht="15.75" thickBot="1">
      <c r="C17" s="84" t="s">
        <v>151</v>
      </c>
      <c r="D17" s="26"/>
      <c r="E17" s="26"/>
      <c r="F17" s="26"/>
      <c r="G17" s="26"/>
      <c r="H17" s="26"/>
      <c r="I17" s="26"/>
      <c r="J17" s="26"/>
      <c r="K17" s="26"/>
      <c r="L17" s="26"/>
      <c r="M17" s="26"/>
      <c r="N17" s="35"/>
      <c r="O17" s="35"/>
      <c r="P17" s="35"/>
      <c r="Q17" s="35"/>
      <c r="R17" s="35"/>
      <c r="S17" s="35"/>
    </row>
    <row r="19" spans="3:19" ht="15.75" thickBot="1"/>
    <row r="20" spans="3:19" ht="30.75" thickBot="1">
      <c r="C20" s="27" t="s">
        <v>31</v>
      </c>
      <c r="D20" s="28" t="s">
        <v>13</v>
      </c>
      <c r="E20" s="28" t="s">
        <v>32</v>
      </c>
      <c r="F20" s="28" t="s">
        <v>33</v>
      </c>
      <c r="G20" s="29" t="s">
        <v>34</v>
      </c>
    </row>
    <row r="21" spans="3:19">
      <c r="C21" s="30">
        <v>0</v>
      </c>
      <c r="D21" s="31"/>
      <c r="E21" s="31"/>
      <c r="F21" s="31"/>
      <c r="G21" s="32">
        <f>F4</f>
        <v>250000</v>
      </c>
    </row>
    <row r="22" spans="3:19">
      <c r="C22" s="30">
        <v>1</v>
      </c>
      <c r="D22" s="33">
        <f>PMT(F5/12,F6*12,-F4,F7)</f>
        <v>6802.4232814897432</v>
      </c>
      <c r="E22" s="31">
        <f>IF(C22&gt;$F$6*12,"",G21*$F$5/12)</f>
        <v>1979.1666666666667</v>
      </c>
      <c r="F22" s="33">
        <f>IF(C22&gt;$F$6*12,"",D22-E22)</f>
        <v>4823.2566148230762</v>
      </c>
      <c r="G22" s="31">
        <f>IF(C22&gt;$F$6*12,"",G21-F22)</f>
        <v>245176.74338517693</v>
      </c>
      <c r="K22" t="s">
        <v>35</v>
      </c>
    </row>
    <row r="23" spans="3:19">
      <c r="C23" s="30">
        <v>2</v>
      </c>
      <c r="D23" s="33">
        <f>IF(C23&gt;$F$6*12,"",IF(C23=$F$6*12,$D$22+$F$7,$D$22))</f>
        <v>6802.4232814897432</v>
      </c>
      <c r="E23" s="31">
        <f t="shared" ref="E23:E81" si="0">IF(C23&gt;$F$6*12,"",G22*$F$5/12)</f>
        <v>1940.9825517993174</v>
      </c>
      <c r="F23" s="33">
        <f t="shared" ref="F23:F81" si="1">IF(C23&gt;$F$6*12,"",D23-E23)</f>
        <v>4861.4407296904255</v>
      </c>
      <c r="G23" s="31">
        <f t="shared" ref="G23:G81" si="2">IF(C23&gt;$F$6*12,"",G22-F23)</f>
        <v>240315.30265548651</v>
      </c>
    </row>
    <row r="24" spans="3:19">
      <c r="C24" s="30">
        <v>3</v>
      </c>
      <c r="D24" s="33">
        <f t="shared" ref="D24:D81" si="3">IF(C24&gt;$F$6*12,"",IF(C24=$F$6*12,$D$22+$F$7,$D$22))</f>
        <v>6802.4232814897432</v>
      </c>
      <c r="E24" s="31">
        <f t="shared" si="0"/>
        <v>1902.4961460226016</v>
      </c>
      <c r="F24" s="33">
        <f t="shared" si="1"/>
        <v>4899.9271354671419</v>
      </c>
      <c r="G24" s="31">
        <f t="shared" si="2"/>
        <v>235415.37552001936</v>
      </c>
    </row>
    <row r="25" spans="3:19">
      <c r="C25" s="30">
        <v>4</v>
      </c>
      <c r="D25" s="33">
        <f t="shared" si="3"/>
        <v>6802.4232814897432</v>
      </c>
      <c r="E25" s="31">
        <f t="shared" si="0"/>
        <v>1863.7050562001532</v>
      </c>
      <c r="F25" s="33">
        <f t="shared" si="1"/>
        <v>4938.71822528959</v>
      </c>
      <c r="G25" s="31">
        <f t="shared" si="2"/>
        <v>230476.65729472975</v>
      </c>
    </row>
    <row r="26" spans="3:19">
      <c r="C26" s="30">
        <v>5</v>
      </c>
      <c r="D26" s="33">
        <f t="shared" si="3"/>
        <v>6802.4232814897432</v>
      </c>
      <c r="E26" s="31">
        <f t="shared" si="0"/>
        <v>1824.606870249944</v>
      </c>
      <c r="F26" s="33">
        <f t="shared" si="1"/>
        <v>4977.816411239799</v>
      </c>
      <c r="G26" s="31">
        <f t="shared" si="2"/>
        <v>225498.84088348996</v>
      </c>
    </row>
    <row r="27" spans="3:19">
      <c r="C27" s="30">
        <v>6</v>
      </c>
      <c r="D27" s="33">
        <f t="shared" si="3"/>
        <v>6802.4232814897432</v>
      </c>
      <c r="E27" s="31">
        <f t="shared" si="0"/>
        <v>1785.1991569942957</v>
      </c>
      <c r="F27" s="33">
        <f t="shared" si="1"/>
        <v>5017.2241244954475</v>
      </c>
      <c r="G27" s="31">
        <f t="shared" si="2"/>
        <v>220481.61675899453</v>
      </c>
    </row>
    <row r="28" spans="3:19">
      <c r="C28" s="30">
        <v>7</v>
      </c>
      <c r="D28" s="33">
        <f t="shared" si="3"/>
        <v>6802.4232814897432</v>
      </c>
      <c r="E28" s="31">
        <f t="shared" si="0"/>
        <v>1745.4794660087066</v>
      </c>
      <c r="F28" s="33">
        <f t="shared" si="1"/>
        <v>5056.9438154810368</v>
      </c>
      <c r="G28" s="31">
        <f t="shared" si="2"/>
        <v>215424.67294351349</v>
      </c>
    </row>
    <row r="29" spans="3:19">
      <c r="C29" s="30">
        <v>8</v>
      </c>
      <c r="D29" s="33">
        <f t="shared" si="3"/>
        <v>6802.4232814897432</v>
      </c>
      <c r="E29" s="31">
        <f t="shared" si="0"/>
        <v>1705.4453274694818</v>
      </c>
      <c r="F29" s="33">
        <f t="shared" si="1"/>
        <v>5096.9779540202617</v>
      </c>
      <c r="G29" s="31">
        <f t="shared" si="2"/>
        <v>210327.69498949323</v>
      </c>
    </row>
    <row r="30" spans="3:19">
      <c r="C30" s="30">
        <v>9</v>
      </c>
      <c r="D30" s="33">
        <f t="shared" si="3"/>
        <v>6802.4232814897432</v>
      </c>
      <c r="E30" s="31">
        <f t="shared" si="0"/>
        <v>1665.0942520001547</v>
      </c>
      <c r="F30" s="33">
        <f t="shared" si="1"/>
        <v>5137.3290294895887</v>
      </c>
      <c r="G30" s="31">
        <f t="shared" si="2"/>
        <v>205190.36596000363</v>
      </c>
    </row>
    <row r="31" spans="3:19">
      <c r="C31" s="30">
        <v>10</v>
      </c>
      <c r="D31" s="33">
        <f t="shared" si="3"/>
        <v>6802.4232814897432</v>
      </c>
      <c r="E31" s="31">
        <f t="shared" si="0"/>
        <v>1624.4237305166955</v>
      </c>
      <c r="F31" s="33">
        <f t="shared" si="1"/>
        <v>5177.9995509730479</v>
      </c>
      <c r="G31" s="31">
        <f t="shared" si="2"/>
        <v>200012.3664090306</v>
      </c>
    </row>
    <row r="32" spans="3:19">
      <c r="C32" s="30">
        <v>11</v>
      </c>
      <c r="D32" s="33">
        <f t="shared" si="3"/>
        <v>6802.4232814897432</v>
      </c>
      <c r="E32" s="31">
        <f t="shared" si="0"/>
        <v>1583.4312340714923</v>
      </c>
      <c r="F32" s="33">
        <f t="shared" si="1"/>
        <v>5218.9920474182509</v>
      </c>
      <c r="G32" s="31">
        <f t="shared" si="2"/>
        <v>194793.37436161234</v>
      </c>
    </row>
    <row r="33" spans="3:7">
      <c r="C33" s="30">
        <v>12</v>
      </c>
      <c r="D33" s="33">
        <f t="shared" si="3"/>
        <v>6802.4232814897432</v>
      </c>
      <c r="E33" s="31">
        <f t="shared" si="0"/>
        <v>1542.1142136960977</v>
      </c>
      <c r="F33" s="33">
        <f t="shared" si="1"/>
        <v>5260.3090677936452</v>
      </c>
      <c r="G33" s="31">
        <f t="shared" si="2"/>
        <v>189533.06529381868</v>
      </c>
    </row>
    <row r="34" spans="3:7">
      <c r="C34" s="30">
        <v>13</v>
      </c>
      <c r="D34" s="33">
        <f t="shared" si="3"/>
        <v>6802.4232814897432</v>
      </c>
      <c r="E34" s="31">
        <f t="shared" si="0"/>
        <v>1500.4701002427312</v>
      </c>
      <c r="F34" s="33">
        <f t="shared" si="1"/>
        <v>5301.9531812470123</v>
      </c>
      <c r="G34" s="31">
        <f t="shared" si="2"/>
        <v>184231.11211257166</v>
      </c>
    </row>
    <row r="35" spans="3:7">
      <c r="C35" s="30">
        <v>14</v>
      </c>
      <c r="D35" s="33">
        <f t="shared" si="3"/>
        <v>6802.4232814897432</v>
      </c>
      <c r="E35" s="31">
        <f t="shared" si="0"/>
        <v>1458.4963042245256</v>
      </c>
      <c r="F35" s="33">
        <f t="shared" si="1"/>
        <v>5343.9269772652178</v>
      </c>
      <c r="G35" s="31">
        <f t="shared" si="2"/>
        <v>178887.18513530644</v>
      </c>
    </row>
    <row r="36" spans="3:7">
      <c r="C36" s="30">
        <v>15</v>
      </c>
      <c r="D36" s="33">
        <f t="shared" si="3"/>
        <v>6802.4232814897432</v>
      </c>
      <c r="E36" s="31">
        <f t="shared" si="0"/>
        <v>1416.1902156545093</v>
      </c>
      <c r="F36" s="33">
        <f t="shared" si="1"/>
        <v>5386.2330658352339</v>
      </c>
      <c r="G36" s="31">
        <f t="shared" si="2"/>
        <v>173500.95206947121</v>
      </c>
    </row>
    <row r="37" spans="3:7">
      <c r="C37" s="30">
        <v>16</v>
      </c>
      <c r="D37" s="33">
        <f t="shared" si="3"/>
        <v>6802.4232814897432</v>
      </c>
      <c r="E37" s="31">
        <f t="shared" si="0"/>
        <v>1373.5492038833138</v>
      </c>
      <c r="F37" s="33">
        <f t="shared" si="1"/>
        <v>5428.8740776064296</v>
      </c>
      <c r="G37" s="31">
        <f t="shared" si="2"/>
        <v>168072.07799186479</v>
      </c>
    </row>
    <row r="38" spans="3:7">
      <c r="C38" s="30">
        <v>17</v>
      </c>
      <c r="D38" s="33">
        <f t="shared" si="3"/>
        <v>6802.4232814897432</v>
      </c>
      <c r="E38" s="31">
        <f t="shared" si="0"/>
        <v>1330.5706174355962</v>
      </c>
      <c r="F38" s="33">
        <f t="shared" si="1"/>
        <v>5471.8526640541468</v>
      </c>
      <c r="G38" s="31">
        <f t="shared" si="2"/>
        <v>162600.22532781065</v>
      </c>
    </row>
    <row r="39" spans="3:7">
      <c r="C39" s="30">
        <v>18</v>
      </c>
      <c r="D39" s="33">
        <f t="shared" si="3"/>
        <v>6802.4232814897432</v>
      </c>
      <c r="E39" s="31">
        <f t="shared" si="0"/>
        <v>1287.2517838451677</v>
      </c>
      <c r="F39" s="33">
        <f t="shared" si="1"/>
        <v>5515.1714976445755</v>
      </c>
      <c r="G39" s="31">
        <f t="shared" si="2"/>
        <v>157085.05383016609</v>
      </c>
    </row>
    <row r="40" spans="3:7">
      <c r="C40" s="30">
        <v>19</v>
      </c>
      <c r="D40" s="33">
        <f t="shared" si="3"/>
        <v>6802.4232814897432</v>
      </c>
      <c r="E40" s="31">
        <f t="shared" si="0"/>
        <v>1243.590009488815</v>
      </c>
      <c r="F40" s="33">
        <f t="shared" si="1"/>
        <v>5558.8332720009284</v>
      </c>
      <c r="G40" s="31">
        <f t="shared" si="2"/>
        <v>151526.22055816517</v>
      </c>
    </row>
    <row r="41" spans="3:7">
      <c r="C41" s="30">
        <v>20</v>
      </c>
      <c r="D41" s="33">
        <f t="shared" si="3"/>
        <v>6802.4232814897432</v>
      </c>
      <c r="E41" s="31">
        <f t="shared" si="0"/>
        <v>1199.5825794188074</v>
      </c>
      <c r="F41" s="33">
        <f t="shared" si="1"/>
        <v>5602.8407020709355</v>
      </c>
      <c r="G41" s="31">
        <f t="shared" si="2"/>
        <v>145923.37985609422</v>
      </c>
    </row>
    <row r="42" spans="3:7">
      <c r="C42" s="30">
        <v>21</v>
      </c>
      <c r="D42" s="33">
        <f t="shared" si="3"/>
        <v>6802.4232814897432</v>
      </c>
      <c r="E42" s="31">
        <f t="shared" si="0"/>
        <v>1155.2267571940793</v>
      </c>
      <c r="F42" s="33">
        <f t="shared" si="1"/>
        <v>5647.1965242956639</v>
      </c>
      <c r="G42" s="31">
        <f t="shared" si="2"/>
        <v>140276.18333179856</v>
      </c>
    </row>
    <row r="43" spans="3:7">
      <c r="C43" s="30">
        <v>22</v>
      </c>
      <c r="D43" s="33">
        <f t="shared" si="3"/>
        <v>6802.4232814897432</v>
      </c>
      <c r="E43" s="31">
        <f t="shared" si="0"/>
        <v>1110.5197847100719</v>
      </c>
      <c r="F43" s="33">
        <f t="shared" si="1"/>
        <v>5691.9034967796715</v>
      </c>
      <c r="G43" s="31">
        <f t="shared" si="2"/>
        <v>134584.27983501888</v>
      </c>
    </row>
    <row r="44" spans="3:7">
      <c r="C44" s="30">
        <v>23</v>
      </c>
      <c r="D44" s="33">
        <f t="shared" si="3"/>
        <v>6802.4232814897432</v>
      </c>
      <c r="E44" s="31">
        <f t="shared" si="0"/>
        <v>1065.4588820272329</v>
      </c>
      <c r="F44" s="33">
        <f t="shared" si="1"/>
        <v>5736.9643994625103</v>
      </c>
      <c r="G44" s="31">
        <f t="shared" si="2"/>
        <v>128847.31543555637</v>
      </c>
    </row>
    <row r="45" spans="3:7">
      <c r="C45" s="30">
        <v>24</v>
      </c>
      <c r="D45" s="33">
        <f t="shared" si="3"/>
        <v>6802.4232814897432</v>
      </c>
      <c r="E45" s="31">
        <f t="shared" si="0"/>
        <v>1020.0412471981546</v>
      </c>
      <c r="F45" s="33">
        <f t="shared" si="1"/>
        <v>5782.3820342915888</v>
      </c>
      <c r="G45" s="31">
        <f t="shared" si="2"/>
        <v>123064.93340126479</v>
      </c>
    </row>
    <row r="46" spans="3:7">
      <c r="C46" s="30">
        <v>25</v>
      </c>
      <c r="D46" s="33">
        <f t="shared" si="3"/>
        <v>6802.4232814897432</v>
      </c>
      <c r="E46" s="31">
        <f t="shared" si="0"/>
        <v>974.26405609334631</v>
      </c>
      <c r="F46" s="33">
        <f t="shared" si="1"/>
        <v>5828.1592253963972</v>
      </c>
      <c r="G46" s="31">
        <f t="shared" si="2"/>
        <v>117236.7741758684</v>
      </c>
    </row>
    <row r="47" spans="3:7">
      <c r="C47" s="30">
        <v>26</v>
      </c>
      <c r="D47" s="33">
        <f t="shared" si="3"/>
        <v>6802.4232814897432</v>
      </c>
      <c r="E47" s="31">
        <f t="shared" si="0"/>
        <v>928.12446222562482</v>
      </c>
      <c r="F47" s="33">
        <f t="shared" si="1"/>
        <v>5874.2988192641187</v>
      </c>
      <c r="G47" s="31">
        <f t="shared" si="2"/>
        <v>111362.47535660428</v>
      </c>
    </row>
    <row r="48" spans="3:7">
      <c r="C48" s="30">
        <v>27</v>
      </c>
      <c r="D48" s="33">
        <f t="shared" si="3"/>
        <v>6802.4232814897432</v>
      </c>
      <c r="E48" s="31">
        <f t="shared" si="0"/>
        <v>881.61959657311718</v>
      </c>
      <c r="F48" s="33">
        <f t="shared" si="1"/>
        <v>5920.8036849166256</v>
      </c>
      <c r="G48" s="31">
        <f t="shared" si="2"/>
        <v>105441.67167168765</v>
      </c>
    </row>
    <row r="49" spans="3:7">
      <c r="C49" s="30">
        <v>28</v>
      </c>
      <c r="D49" s="33">
        <f t="shared" si="3"/>
        <v>6802.4232814897432</v>
      </c>
      <c r="E49" s="31">
        <f t="shared" si="0"/>
        <v>834.7465674008605</v>
      </c>
      <c r="F49" s="33">
        <f t="shared" si="1"/>
        <v>5967.6767140888824</v>
      </c>
      <c r="G49" s="31">
        <f t="shared" si="2"/>
        <v>99473.99495759877</v>
      </c>
    </row>
    <row r="50" spans="3:7">
      <c r="C50" s="30">
        <v>29</v>
      </c>
      <c r="D50" s="33">
        <f t="shared" si="3"/>
        <v>6802.4232814897432</v>
      </c>
      <c r="E50" s="31">
        <f t="shared" si="0"/>
        <v>787.5024600809902</v>
      </c>
      <c r="F50" s="33">
        <f t="shared" si="1"/>
        <v>6014.920821408753</v>
      </c>
      <c r="G50" s="31">
        <f t="shared" si="2"/>
        <v>93459.074136190015</v>
      </c>
    </row>
    <row r="51" spans="3:7">
      <c r="C51" s="30">
        <v>30</v>
      </c>
      <c r="D51" s="33">
        <f t="shared" si="3"/>
        <v>6802.4232814897432</v>
      </c>
      <c r="E51" s="31">
        <f t="shared" si="0"/>
        <v>739.88433691150431</v>
      </c>
      <c r="F51" s="33">
        <f t="shared" si="1"/>
        <v>6062.5389445782384</v>
      </c>
      <c r="G51" s="31">
        <f t="shared" si="2"/>
        <v>87396.53519161178</v>
      </c>
    </row>
    <row r="52" spans="3:7">
      <c r="C52" s="30">
        <v>31</v>
      </c>
      <c r="D52" s="33">
        <f t="shared" si="3"/>
        <v>6802.4232814897432</v>
      </c>
      <c r="E52" s="31">
        <f t="shared" si="0"/>
        <v>691.88923693359322</v>
      </c>
      <c r="F52" s="33">
        <f t="shared" si="1"/>
        <v>6110.5340445561496</v>
      </c>
      <c r="G52" s="31">
        <f t="shared" si="2"/>
        <v>81286.001147055635</v>
      </c>
    </row>
    <row r="53" spans="3:7">
      <c r="C53" s="30">
        <v>32</v>
      </c>
      <c r="D53" s="33">
        <f t="shared" si="3"/>
        <v>6802.4232814897432</v>
      </c>
      <c r="E53" s="31">
        <f t="shared" si="0"/>
        <v>643.51417574752384</v>
      </c>
      <c r="F53" s="33">
        <f t="shared" si="1"/>
        <v>6158.9091057422193</v>
      </c>
      <c r="G53" s="31">
        <f t="shared" si="2"/>
        <v>75127.092041313415</v>
      </c>
    </row>
    <row r="54" spans="3:7">
      <c r="C54" s="30">
        <v>33</v>
      </c>
      <c r="D54" s="33">
        <f t="shared" si="3"/>
        <v>6802.4232814897432</v>
      </c>
      <c r="E54" s="31">
        <f t="shared" si="0"/>
        <v>594.75614532706447</v>
      </c>
      <c r="F54" s="33">
        <f t="shared" si="1"/>
        <v>6207.6671361626786</v>
      </c>
      <c r="G54" s="31">
        <f t="shared" si="2"/>
        <v>68919.424905150736</v>
      </c>
    </row>
    <row r="55" spans="3:7">
      <c r="C55" s="30">
        <v>34</v>
      </c>
      <c r="D55" s="33">
        <f t="shared" si="3"/>
        <v>6802.4232814897432</v>
      </c>
      <c r="E55" s="31">
        <f t="shared" si="0"/>
        <v>545.61211383244336</v>
      </c>
      <c r="F55" s="33">
        <f t="shared" si="1"/>
        <v>6256.8111676572998</v>
      </c>
      <c r="G55" s="31">
        <f t="shared" si="2"/>
        <v>62662.613737493433</v>
      </c>
    </row>
    <row r="56" spans="3:7">
      <c r="C56" s="30">
        <v>35</v>
      </c>
      <c r="D56" s="33">
        <f t="shared" si="3"/>
        <v>6802.4232814897432</v>
      </c>
      <c r="E56" s="31">
        <f t="shared" si="0"/>
        <v>496.07902542182302</v>
      </c>
      <c r="F56" s="33">
        <f t="shared" si="1"/>
        <v>6306.3442560679205</v>
      </c>
      <c r="G56" s="31">
        <f t="shared" si="2"/>
        <v>56356.269481425516</v>
      </c>
    </row>
    <row r="57" spans="3:7">
      <c r="C57" s="30">
        <v>36</v>
      </c>
      <c r="D57" s="33">
        <f t="shared" si="3"/>
        <v>56802.42328148974</v>
      </c>
      <c r="E57" s="31">
        <f t="shared" si="0"/>
        <v>446.15380006128538</v>
      </c>
      <c r="F57" s="33">
        <f t="shared" si="1"/>
        <v>56356.269481428455</v>
      </c>
      <c r="G57" s="31">
        <f t="shared" si="2"/>
        <v>-2.9394868761301041E-9</v>
      </c>
    </row>
    <row r="58" spans="3:7">
      <c r="C58" s="30">
        <v>37</v>
      </c>
      <c r="D58" s="33" t="str">
        <f t="shared" si="3"/>
        <v/>
      </c>
      <c r="E58" s="31" t="str">
        <f t="shared" si="0"/>
        <v/>
      </c>
      <c r="F58" s="33" t="str">
        <f t="shared" si="1"/>
        <v/>
      </c>
      <c r="G58" s="31" t="str">
        <f t="shared" si="2"/>
        <v/>
      </c>
    </row>
    <row r="59" spans="3:7">
      <c r="C59" s="30">
        <v>38</v>
      </c>
      <c r="D59" s="33" t="str">
        <f t="shared" si="3"/>
        <v/>
      </c>
      <c r="E59" s="31" t="str">
        <f t="shared" si="0"/>
        <v/>
      </c>
      <c r="F59" s="33" t="str">
        <f t="shared" si="1"/>
        <v/>
      </c>
      <c r="G59" s="31" t="str">
        <f t="shared" si="2"/>
        <v/>
      </c>
    </row>
    <row r="60" spans="3:7">
      <c r="C60" s="30">
        <v>39</v>
      </c>
      <c r="D60" s="33" t="str">
        <f t="shared" si="3"/>
        <v/>
      </c>
      <c r="E60" s="31" t="str">
        <f t="shared" si="0"/>
        <v/>
      </c>
      <c r="F60" s="33" t="str">
        <f t="shared" si="1"/>
        <v/>
      </c>
      <c r="G60" s="31" t="str">
        <f t="shared" si="2"/>
        <v/>
      </c>
    </row>
    <row r="61" spans="3:7">
      <c r="C61" s="30">
        <v>40</v>
      </c>
      <c r="D61" s="33" t="str">
        <f t="shared" si="3"/>
        <v/>
      </c>
      <c r="E61" s="31" t="str">
        <f t="shared" si="0"/>
        <v/>
      </c>
      <c r="F61" s="33" t="str">
        <f t="shared" si="1"/>
        <v/>
      </c>
      <c r="G61" s="31" t="str">
        <f t="shared" si="2"/>
        <v/>
      </c>
    </row>
    <row r="62" spans="3:7">
      <c r="C62" s="30">
        <v>41</v>
      </c>
      <c r="D62" s="33" t="str">
        <f t="shared" si="3"/>
        <v/>
      </c>
      <c r="E62" s="31" t="str">
        <f t="shared" si="0"/>
        <v/>
      </c>
      <c r="F62" s="33" t="str">
        <f t="shared" si="1"/>
        <v/>
      </c>
      <c r="G62" s="31" t="str">
        <f t="shared" si="2"/>
        <v/>
      </c>
    </row>
    <row r="63" spans="3:7">
      <c r="C63" s="30">
        <v>42</v>
      </c>
      <c r="D63" s="33" t="str">
        <f t="shared" si="3"/>
        <v/>
      </c>
      <c r="E63" s="31" t="str">
        <f t="shared" si="0"/>
        <v/>
      </c>
      <c r="F63" s="33" t="str">
        <f t="shared" si="1"/>
        <v/>
      </c>
      <c r="G63" s="31" t="str">
        <f t="shared" si="2"/>
        <v/>
      </c>
    </row>
    <row r="64" spans="3:7">
      <c r="C64" s="30">
        <v>43</v>
      </c>
      <c r="D64" s="33" t="str">
        <f t="shared" si="3"/>
        <v/>
      </c>
      <c r="E64" s="31" t="str">
        <f t="shared" si="0"/>
        <v/>
      </c>
      <c r="F64" s="33" t="str">
        <f t="shared" si="1"/>
        <v/>
      </c>
      <c r="G64" s="31" t="str">
        <f t="shared" si="2"/>
        <v/>
      </c>
    </row>
    <row r="65" spans="3:7">
      <c r="C65" s="30">
        <v>44</v>
      </c>
      <c r="D65" s="33" t="str">
        <f t="shared" si="3"/>
        <v/>
      </c>
      <c r="E65" s="31" t="str">
        <f t="shared" si="0"/>
        <v/>
      </c>
      <c r="F65" s="33" t="str">
        <f t="shared" si="1"/>
        <v/>
      </c>
      <c r="G65" s="31" t="str">
        <f t="shared" si="2"/>
        <v/>
      </c>
    </row>
    <row r="66" spans="3:7">
      <c r="C66" s="30">
        <v>45</v>
      </c>
      <c r="D66" s="33" t="str">
        <f t="shared" si="3"/>
        <v/>
      </c>
      <c r="E66" s="31" t="str">
        <f t="shared" si="0"/>
        <v/>
      </c>
      <c r="F66" s="33" t="str">
        <f t="shared" si="1"/>
        <v/>
      </c>
      <c r="G66" s="31" t="str">
        <f t="shared" si="2"/>
        <v/>
      </c>
    </row>
    <row r="67" spans="3:7">
      <c r="C67" s="30">
        <v>46</v>
      </c>
      <c r="D67" s="33" t="str">
        <f t="shared" si="3"/>
        <v/>
      </c>
      <c r="E67" s="31" t="str">
        <f t="shared" si="0"/>
        <v/>
      </c>
      <c r="F67" s="33" t="str">
        <f t="shared" si="1"/>
        <v/>
      </c>
      <c r="G67" s="31" t="str">
        <f t="shared" si="2"/>
        <v/>
      </c>
    </row>
    <row r="68" spans="3:7">
      <c r="C68" s="30">
        <v>47</v>
      </c>
      <c r="D68" s="33" t="str">
        <f t="shared" si="3"/>
        <v/>
      </c>
      <c r="E68" s="31" t="str">
        <f t="shared" si="0"/>
        <v/>
      </c>
      <c r="F68" s="33" t="str">
        <f t="shared" si="1"/>
        <v/>
      </c>
      <c r="G68" s="31" t="str">
        <f t="shared" si="2"/>
        <v/>
      </c>
    </row>
    <row r="69" spans="3:7">
      <c r="C69" s="30">
        <v>48</v>
      </c>
      <c r="D69" s="33" t="str">
        <f t="shared" si="3"/>
        <v/>
      </c>
      <c r="E69" s="31" t="str">
        <f t="shared" si="0"/>
        <v/>
      </c>
      <c r="F69" s="33" t="str">
        <f t="shared" si="1"/>
        <v/>
      </c>
      <c r="G69" s="31" t="str">
        <f t="shared" si="2"/>
        <v/>
      </c>
    </row>
    <row r="70" spans="3:7">
      <c r="C70" s="30">
        <v>49</v>
      </c>
      <c r="D70" s="33" t="str">
        <f t="shared" si="3"/>
        <v/>
      </c>
      <c r="E70" s="31" t="str">
        <f t="shared" si="0"/>
        <v/>
      </c>
      <c r="F70" s="33" t="str">
        <f t="shared" si="1"/>
        <v/>
      </c>
      <c r="G70" s="31" t="str">
        <f t="shared" si="2"/>
        <v/>
      </c>
    </row>
    <row r="71" spans="3:7">
      <c r="C71" s="30">
        <v>50</v>
      </c>
      <c r="D71" s="33" t="str">
        <f t="shared" si="3"/>
        <v/>
      </c>
      <c r="E71" s="31" t="str">
        <f t="shared" si="0"/>
        <v/>
      </c>
      <c r="F71" s="33" t="str">
        <f t="shared" si="1"/>
        <v/>
      </c>
      <c r="G71" s="31" t="str">
        <f t="shared" si="2"/>
        <v/>
      </c>
    </row>
    <row r="72" spans="3:7">
      <c r="C72" s="30">
        <v>51</v>
      </c>
      <c r="D72" s="33" t="str">
        <f t="shared" si="3"/>
        <v/>
      </c>
      <c r="E72" s="31" t="str">
        <f t="shared" si="0"/>
        <v/>
      </c>
      <c r="F72" s="33" t="str">
        <f t="shared" si="1"/>
        <v/>
      </c>
      <c r="G72" s="31" t="str">
        <f t="shared" si="2"/>
        <v/>
      </c>
    </row>
    <row r="73" spans="3:7">
      <c r="C73" s="30">
        <v>52</v>
      </c>
      <c r="D73" s="33" t="str">
        <f t="shared" si="3"/>
        <v/>
      </c>
      <c r="E73" s="31" t="str">
        <f t="shared" si="0"/>
        <v/>
      </c>
      <c r="F73" s="33" t="str">
        <f t="shared" si="1"/>
        <v/>
      </c>
      <c r="G73" s="31" t="str">
        <f t="shared" si="2"/>
        <v/>
      </c>
    </row>
    <row r="74" spans="3:7">
      <c r="C74" s="30">
        <v>53</v>
      </c>
      <c r="D74" s="33" t="str">
        <f t="shared" si="3"/>
        <v/>
      </c>
      <c r="E74" s="31" t="str">
        <f t="shared" si="0"/>
        <v/>
      </c>
      <c r="F74" s="33" t="str">
        <f t="shared" si="1"/>
        <v/>
      </c>
      <c r="G74" s="31" t="str">
        <f t="shared" si="2"/>
        <v/>
      </c>
    </row>
    <row r="75" spans="3:7">
      <c r="C75" s="30">
        <v>54</v>
      </c>
      <c r="D75" s="33" t="str">
        <f t="shared" si="3"/>
        <v/>
      </c>
      <c r="E75" s="31" t="str">
        <f t="shared" si="0"/>
        <v/>
      </c>
      <c r="F75" s="33" t="str">
        <f t="shared" si="1"/>
        <v/>
      </c>
      <c r="G75" s="31" t="str">
        <f t="shared" si="2"/>
        <v/>
      </c>
    </row>
    <row r="76" spans="3:7">
      <c r="C76" s="30">
        <v>55</v>
      </c>
      <c r="D76" s="33" t="str">
        <f t="shared" si="3"/>
        <v/>
      </c>
      <c r="E76" s="31" t="str">
        <f t="shared" si="0"/>
        <v/>
      </c>
      <c r="F76" s="33" t="str">
        <f t="shared" si="1"/>
        <v/>
      </c>
      <c r="G76" s="31" t="str">
        <f t="shared" si="2"/>
        <v/>
      </c>
    </row>
    <row r="77" spans="3:7">
      <c r="C77" s="30">
        <v>56</v>
      </c>
      <c r="D77" s="33" t="str">
        <f t="shared" si="3"/>
        <v/>
      </c>
      <c r="E77" s="31" t="str">
        <f t="shared" si="0"/>
        <v/>
      </c>
      <c r="F77" s="33" t="str">
        <f t="shared" si="1"/>
        <v/>
      </c>
      <c r="G77" s="31" t="str">
        <f t="shared" si="2"/>
        <v/>
      </c>
    </row>
    <row r="78" spans="3:7">
      <c r="C78" s="30">
        <v>57</v>
      </c>
      <c r="D78" s="33" t="str">
        <f t="shared" si="3"/>
        <v/>
      </c>
      <c r="E78" s="31" t="str">
        <f t="shared" si="0"/>
        <v/>
      </c>
      <c r="F78" s="33" t="str">
        <f t="shared" si="1"/>
        <v/>
      </c>
      <c r="G78" s="31" t="str">
        <f t="shared" si="2"/>
        <v/>
      </c>
    </row>
    <row r="79" spans="3:7">
      <c r="C79" s="30">
        <v>58</v>
      </c>
      <c r="D79" s="33" t="str">
        <f t="shared" si="3"/>
        <v/>
      </c>
      <c r="E79" s="31" t="str">
        <f t="shared" si="0"/>
        <v/>
      </c>
      <c r="F79" s="33" t="str">
        <f t="shared" si="1"/>
        <v/>
      </c>
      <c r="G79" s="31" t="str">
        <f t="shared" si="2"/>
        <v/>
      </c>
    </row>
    <row r="80" spans="3:7">
      <c r="C80" s="30">
        <v>59</v>
      </c>
      <c r="D80" s="33" t="str">
        <f t="shared" si="3"/>
        <v/>
      </c>
      <c r="E80" s="31" t="str">
        <f t="shared" si="0"/>
        <v/>
      </c>
      <c r="F80" s="33" t="str">
        <f t="shared" si="1"/>
        <v/>
      </c>
      <c r="G80" s="31" t="str">
        <f t="shared" si="2"/>
        <v/>
      </c>
    </row>
    <row r="81" spans="3:7">
      <c r="C81" s="30">
        <v>60</v>
      </c>
      <c r="D81" s="33" t="str">
        <f t="shared" si="3"/>
        <v/>
      </c>
      <c r="E81" s="31" t="str">
        <f t="shared" si="0"/>
        <v/>
      </c>
      <c r="F81" s="33" t="str">
        <f t="shared" si="1"/>
        <v/>
      </c>
      <c r="G81" s="31" t="str">
        <f t="shared" si="2"/>
        <v/>
      </c>
    </row>
  </sheetData>
  <dataValidations count="1">
    <dataValidation type="list" allowBlank="1" showInputMessage="1" showErrorMessage="1" promptTitle="Instructions" prompt="This cell can be a whiole number of years between 1 and 5" sqref="F6">
      <formula1>$W$3:$W$7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C3:E23"/>
  <sheetViews>
    <sheetView zoomScale="130" zoomScaleNormal="130" workbookViewId="0">
      <selection activeCell="C10" sqref="C10:E10"/>
    </sheetView>
  </sheetViews>
  <sheetFormatPr defaultRowHeight="15"/>
  <cols>
    <col min="1" max="1" width="4.7109375" customWidth="1"/>
    <col min="2" max="2" width="4.85546875" customWidth="1"/>
    <col min="4" max="5" width="15" customWidth="1"/>
  </cols>
  <sheetData>
    <row r="3" spans="3:5" s="22" customFormat="1" ht="17.25">
      <c r="C3" s="22" t="s">
        <v>48</v>
      </c>
    </row>
    <row r="4" spans="3:5" s="22" customFormat="1">
      <c r="C4" s="22" t="s">
        <v>42</v>
      </c>
    </row>
    <row r="5" spans="3:5" s="22" customFormat="1">
      <c r="C5" s="22" t="s">
        <v>43</v>
      </c>
    </row>
    <row r="6" spans="3:5" s="22" customFormat="1">
      <c r="C6" s="22" t="s">
        <v>152</v>
      </c>
    </row>
    <row r="7" spans="3:5" s="22" customFormat="1">
      <c r="D7" s="38"/>
      <c r="E7" s="23"/>
    </row>
    <row r="8" spans="3:5" s="22" customFormat="1">
      <c r="C8" s="22" t="s">
        <v>44</v>
      </c>
      <c r="D8" s="38"/>
      <c r="E8" s="3">
        <v>1500</v>
      </c>
    </row>
    <row r="9" spans="3:5" s="22" customFormat="1">
      <c r="C9" s="22" t="s">
        <v>3</v>
      </c>
      <c r="D9" s="38"/>
      <c r="E9" s="4">
        <v>9.7500000000000003E-2</v>
      </c>
    </row>
    <row r="10" spans="3:5" s="22" customFormat="1">
      <c r="C10" s="22" t="s">
        <v>153</v>
      </c>
      <c r="E10" s="85">
        <v>5</v>
      </c>
    </row>
    <row r="11" spans="3:5" s="22" customFormat="1">
      <c r="D11" s="38"/>
      <c r="E11" s="23"/>
    </row>
    <row r="12" spans="3:5" s="22" customFormat="1" ht="51.75">
      <c r="C12" s="39" t="s">
        <v>12</v>
      </c>
      <c r="D12" s="40" t="s">
        <v>46</v>
      </c>
      <c r="E12" s="40" t="s">
        <v>47</v>
      </c>
    </row>
    <row r="13" spans="3:5" s="22" customFormat="1">
      <c r="D13" s="86">
        <f>E8+(E8*E9*E10)</f>
        <v>2231.25</v>
      </c>
      <c r="E13" s="88">
        <f>FV(E9,E10,0,-E8)</f>
        <v>2388.4376229783684</v>
      </c>
    </row>
    <row r="14" spans="3:5" s="22" customFormat="1">
      <c r="C14" s="41">
        <v>1</v>
      </c>
      <c r="D14" s="87">
        <f t="dataTable" ref="D14:E23" dt2D="0" dtr="0" r1="E10"/>
        <v>1646.25</v>
      </c>
      <c r="E14" s="88">
        <v>1646.2499999999998</v>
      </c>
    </row>
    <row r="15" spans="3:5" s="22" customFormat="1">
      <c r="C15" s="41">
        <v>2</v>
      </c>
      <c r="D15" s="87">
        <v>1792.5</v>
      </c>
      <c r="E15" s="88">
        <v>1806.7593749999999</v>
      </c>
    </row>
    <row r="16" spans="3:5" s="22" customFormat="1">
      <c r="C16" s="41">
        <v>3</v>
      </c>
      <c r="D16" s="87">
        <v>1938.75</v>
      </c>
      <c r="E16" s="88">
        <v>1982.9184140624996</v>
      </c>
    </row>
    <row r="17" spans="3:5" s="22" customFormat="1">
      <c r="C17" s="41">
        <v>4</v>
      </c>
      <c r="D17" s="87">
        <v>2085</v>
      </c>
      <c r="E17" s="88">
        <v>2176.2529594335933</v>
      </c>
    </row>
    <row r="18" spans="3:5">
      <c r="C18" s="41">
        <v>5</v>
      </c>
      <c r="D18" s="88">
        <v>2231.25</v>
      </c>
      <c r="E18" s="88">
        <v>2388.4376229783684</v>
      </c>
    </row>
    <row r="19" spans="3:5">
      <c r="C19" s="41">
        <v>6</v>
      </c>
      <c r="D19" s="88">
        <v>2377.5</v>
      </c>
      <c r="E19" s="88">
        <v>2621.3102912187592</v>
      </c>
    </row>
    <row r="20" spans="3:5">
      <c r="C20" s="41">
        <v>7</v>
      </c>
      <c r="D20" s="88">
        <v>2523.75</v>
      </c>
      <c r="E20" s="88">
        <v>2876.8880446125881</v>
      </c>
    </row>
    <row r="21" spans="3:5">
      <c r="C21" s="41">
        <v>8</v>
      </c>
      <c r="D21" s="88">
        <v>2670</v>
      </c>
      <c r="E21" s="88">
        <v>3157.3846289623152</v>
      </c>
    </row>
    <row r="22" spans="3:5">
      <c r="C22" s="41">
        <v>9</v>
      </c>
      <c r="D22" s="88">
        <v>2816.25</v>
      </c>
      <c r="E22" s="88">
        <v>3465.2296302861409</v>
      </c>
    </row>
    <row r="23" spans="3:5">
      <c r="C23" s="41">
        <v>10</v>
      </c>
      <c r="D23" s="88">
        <v>2962.5</v>
      </c>
      <c r="E23" s="88">
        <v>3803.0895192390399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B2:M92"/>
  <sheetViews>
    <sheetView zoomScale="115" zoomScaleNormal="115" workbookViewId="0">
      <selection activeCell="H19" sqref="H19"/>
    </sheetView>
  </sheetViews>
  <sheetFormatPr defaultRowHeight="15"/>
  <cols>
    <col min="1" max="1" width="3.5703125" customWidth="1"/>
    <col min="2" max="2" width="3.7109375" customWidth="1"/>
    <col min="3" max="3" width="12.5703125" customWidth="1"/>
    <col min="4" max="5" width="13.7109375" customWidth="1"/>
    <col min="8" max="8" width="12.28515625" bestFit="1" customWidth="1"/>
    <col min="10" max="13" width="12.85546875" customWidth="1"/>
  </cols>
  <sheetData>
    <row r="2" spans="2:10" ht="23.25">
      <c r="B2" s="1" t="s">
        <v>26</v>
      </c>
    </row>
    <row r="3" spans="2:10" ht="23.25">
      <c r="B3" s="1"/>
    </row>
    <row r="4" spans="2:10" ht="23.25">
      <c r="B4" s="1"/>
    </row>
    <row r="5" spans="2:10" ht="23.25">
      <c r="B5" s="1"/>
    </row>
    <row r="6" spans="2:10" ht="23.25">
      <c r="B6" s="1"/>
    </row>
    <row r="7" spans="2:10" ht="23.25">
      <c r="B7" s="1"/>
    </row>
    <row r="10" spans="2:10">
      <c r="B10" s="2" t="s">
        <v>1</v>
      </c>
      <c r="C10" t="s">
        <v>2</v>
      </c>
      <c r="G10" s="3">
        <v>1500</v>
      </c>
    </row>
    <row r="11" spans="2:10">
      <c r="C11" t="s">
        <v>3</v>
      </c>
      <c r="G11" s="4">
        <v>7.0000000000000007E-2</v>
      </c>
    </row>
    <row r="12" spans="2:10">
      <c r="C12" t="s">
        <v>4</v>
      </c>
      <c r="G12" s="5">
        <v>8</v>
      </c>
      <c r="H12" t="s">
        <v>5</v>
      </c>
    </row>
    <row r="14" spans="2:10">
      <c r="C14" t="s">
        <v>6</v>
      </c>
    </row>
    <row r="15" spans="2:10">
      <c r="C15" t="s">
        <v>154</v>
      </c>
      <c r="J15" s="6"/>
    </row>
    <row r="16" spans="2:10">
      <c r="C16" t="s">
        <v>7</v>
      </c>
      <c r="J16" s="6"/>
    </row>
    <row r="17" spans="2:10">
      <c r="C17" t="s">
        <v>8</v>
      </c>
      <c r="J17" s="6"/>
    </row>
    <row r="18" spans="2:10">
      <c r="C18" t="s">
        <v>155</v>
      </c>
      <c r="J18" s="6"/>
    </row>
    <row r="19" spans="2:10" ht="15.75" thickBot="1"/>
    <row r="20" spans="2:10" ht="15.75" thickBot="1">
      <c r="D20" s="93">
        <f>FV(G11,G12,-G10,0)*(1+G11)^(15-G12+1)</f>
        <v>26442.37647286044</v>
      </c>
      <c r="E20" s="94"/>
      <c r="H20" s="6"/>
      <c r="J20" s="6"/>
    </row>
    <row r="21" spans="2:10">
      <c r="H21" s="6"/>
      <c r="J21" s="6"/>
    </row>
    <row r="22" spans="2:10">
      <c r="B22" s="2" t="s">
        <v>9</v>
      </c>
      <c r="C22" t="s">
        <v>10</v>
      </c>
    </row>
    <row r="23" spans="2:10">
      <c r="C23" t="s">
        <v>11</v>
      </c>
    </row>
    <row r="24" spans="2:10" ht="15.75" thickBot="1"/>
    <row r="25" spans="2:10" ht="15.75" thickBot="1">
      <c r="D25" s="7" t="s">
        <v>12</v>
      </c>
      <c r="E25" s="8" t="s">
        <v>13</v>
      </c>
    </row>
    <row r="26" spans="2:10" ht="15.75" thickBot="1">
      <c r="D26" s="9">
        <v>1</v>
      </c>
      <c r="E26" s="10">
        <v>3000</v>
      </c>
      <c r="F26" t="s">
        <v>14</v>
      </c>
    </row>
    <row r="27" spans="2:10">
      <c r="D27" s="11">
        <v>2</v>
      </c>
      <c r="E27" s="12">
        <f>E26</f>
        <v>3000</v>
      </c>
    </row>
    <row r="28" spans="2:10">
      <c r="D28" s="11">
        <v>3</v>
      </c>
      <c r="E28" s="13">
        <f>E27</f>
        <v>3000</v>
      </c>
    </row>
    <row r="29" spans="2:10">
      <c r="D29" s="11">
        <v>4</v>
      </c>
      <c r="E29" s="13">
        <f>E28</f>
        <v>3000</v>
      </c>
    </row>
    <row r="30" spans="2:10">
      <c r="D30" s="11">
        <v>5</v>
      </c>
      <c r="E30" s="13">
        <f>E29</f>
        <v>3000</v>
      </c>
    </row>
    <row r="31" spans="2:10" ht="15.75" thickBot="1">
      <c r="D31" s="11">
        <v>6</v>
      </c>
      <c r="E31" s="14">
        <f>E28</f>
        <v>3000</v>
      </c>
    </row>
    <row r="32" spans="2:10" ht="15.75" thickBot="1">
      <c r="D32" s="15">
        <v>7</v>
      </c>
      <c r="E32" s="10">
        <v>5000</v>
      </c>
      <c r="F32" t="s">
        <v>14</v>
      </c>
    </row>
    <row r="34" spans="2:9">
      <c r="C34" t="s">
        <v>15</v>
      </c>
      <c r="E34" s="4">
        <v>7.4999999999999997E-2</v>
      </c>
      <c r="I34" s="6"/>
    </row>
    <row r="36" spans="2:9">
      <c r="C36" t="s">
        <v>16</v>
      </c>
    </row>
    <row r="37" spans="2:9">
      <c r="C37" t="s">
        <v>17</v>
      </c>
    </row>
    <row r="39" spans="2:9">
      <c r="C39" t="s">
        <v>18</v>
      </c>
    </row>
    <row r="40" spans="2:9">
      <c r="C40" t="s">
        <v>19</v>
      </c>
    </row>
    <row r="41" spans="2:9">
      <c r="C41" t="s">
        <v>20</v>
      </c>
    </row>
    <row r="42" spans="2:9" ht="15.75" thickBot="1"/>
    <row r="43" spans="2:9" ht="15.75" thickBot="1">
      <c r="D43" s="95">
        <f>-PV(E34,7,E26,E32-E26)</f>
        <v>17095.313765880441</v>
      </c>
      <c r="E43" s="94"/>
    </row>
    <row r="45" spans="2:9">
      <c r="B45" s="2" t="s">
        <v>21</v>
      </c>
      <c r="C45" t="s">
        <v>10</v>
      </c>
    </row>
    <row r="46" spans="2:9">
      <c r="C46" t="s">
        <v>11</v>
      </c>
    </row>
    <row r="47" spans="2:9" ht="15.75" thickBot="1"/>
    <row r="48" spans="2:9" ht="15.75" thickBot="1">
      <c r="D48" s="7" t="s">
        <v>12</v>
      </c>
      <c r="E48" s="8" t="s">
        <v>13</v>
      </c>
    </row>
    <row r="49" spans="3:6">
      <c r="D49" s="16">
        <v>1</v>
      </c>
      <c r="E49" s="17"/>
    </row>
    <row r="50" spans="3:6">
      <c r="D50" s="11">
        <v>2</v>
      </c>
      <c r="E50" s="18"/>
    </row>
    <row r="51" spans="3:6">
      <c r="D51" s="11">
        <v>3</v>
      </c>
      <c r="E51" s="18"/>
    </row>
    <row r="52" spans="3:6" ht="15.75" thickBot="1">
      <c r="D52" s="11">
        <v>4</v>
      </c>
      <c r="E52" s="18"/>
    </row>
    <row r="53" spans="3:6" ht="15.75" thickBot="1">
      <c r="D53" s="11">
        <v>5</v>
      </c>
      <c r="E53" s="10">
        <v>5000</v>
      </c>
      <c r="F53" t="s">
        <v>14</v>
      </c>
    </row>
    <row r="54" spans="3:6">
      <c r="D54" s="9">
        <v>6</v>
      </c>
      <c r="E54" s="12">
        <f>E53</f>
        <v>5000</v>
      </c>
    </row>
    <row r="55" spans="3:6">
      <c r="D55" s="11">
        <v>7</v>
      </c>
      <c r="E55" s="12">
        <f>E54</f>
        <v>5000</v>
      </c>
    </row>
    <row r="56" spans="3:6">
      <c r="D56" s="11">
        <v>8</v>
      </c>
      <c r="E56" s="13">
        <f>E55</f>
        <v>5000</v>
      </c>
    </row>
    <row r="57" spans="3:6">
      <c r="D57" s="11">
        <v>9</v>
      </c>
      <c r="E57" s="14">
        <f>E56</f>
        <v>5000</v>
      </c>
    </row>
    <row r="58" spans="3:6" ht="15.75" thickBot="1">
      <c r="D58" s="15">
        <v>10</v>
      </c>
      <c r="E58" s="19">
        <f>E57</f>
        <v>5000</v>
      </c>
    </row>
    <row r="60" spans="3:6">
      <c r="C60" t="s">
        <v>15</v>
      </c>
      <c r="E60" s="20">
        <v>0.12</v>
      </c>
    </row>
    <row r="62" spans="3:6">
      <c r="C62" t="s">
        <v>22</v>
      </c>
    </row>
    <row r="64" spans="3:6">
      <c r="C64" t="s">
        <v>18</v>
      </c>
    </row>
    <row r="65" spans="2:5">
      <c r="C65" t="s">
        <v>23</v>
      </c>
    </row>
    <row r="66" spans="2:5">
      <c r="C66" t="s">
        <v>20</v>
      </c>
    </row>
    <row r="67" spans="2:5" ht="15.75" thickBot="1"/>
    <row r="68" spans="2:5" ht="15.75" thickBot="1">
      <c r="D68" s="93">
        <f>-PV(E60,6,E53)/(1+E60)^4</f>
        <v>13064.368408922301</v>
      </c>
      <c r="E68" s="94"/>
    </row>
    <row r="70" spans="2:5" ht="15.75" thickBot="1"/>
    <row r="71" spans="2:5" ht="15.75" thickBot="1">
      <c r="B71" s="2" t="s">
        <v>24</v>
      </c>
      <c r="C71" t="s">
        <v>65</v>
      </c>
      <c r="E71" s="49">
        <v>15</v>
      </c>
    </row>
    <row r="73" spans="2:5">
      <c r="C73" t="s">
        <v>66</v>
      </c>
    </row>
    <row r="74" spans="2:5">
      <c r="C74" t="s">
        <v>67</v>
      </c>
    </row>
    <row r="75" spans="2:5">
      <c r="C75" t="s">
        <v>68</v>
      </c>
    </row>
    <row r="76" spans="2:5">
      <c r="C76" t="s">
        <v>69</v>
      </c>
    </row>
    <row r="77" spans="2:5" ht="15.75" thickBot="1"/>
    <row r="78" spans="2:5" ht="15.75" thickBot="1">
      <c r="D78" s="96" t="str">
        <f>IF(E71&gt;10,"GREATER",IF(E71&lt;10,"SMALLER","EQUAL"))</f>
        <v>GREATER</v>
      </c>
      <c r="E78" s="97"/>
    </row>
    <row r="81" spans="2:13">
      <c r="B81" s="2" t="s">
        <v>25</v>
      </c>
      <c r="C81" t="s">
        <v>81</v>
      </c>
    </row>
    <row r="82" spans="2:13" ht="17.25">
      <c r="C82" t="s">
        <v>83</v>
      </c>
      <c r="I82" s="59" t="s">
        <v>12</v>
      </c>
      <c r="J82" s="59" t="s">
        <v>78</v>
      </c>
      <c r="K82" s="59" t="s">
        <v>79</v>
      </c>
      <c r="L82" s="59" t="s">
        <v>80</v>
      </c>
      <c r="M82" s="59"/>
    </row>
    <row r="83" spans="2:13">
      <c r="C83" t="s">
        <v>84</v>
      </c>
      <c r="I83" s="58">
        <v>1</v>
      </c>
      <c r="J83">
        <v>2500</v>
      </c>
      <c r="K83">
        <v>1800</v>
      </c>
      <c r="L83">
        <v>125</v>
      </c>
    </row>
    <row r="84" spans="2:13" ht="15.75" thickBot="1">
      <c r="I84" s="58">
        <v>2</v>
      </c>
      <c r="J84">
        <v>3000</v>
      </c>
      <c r="K84">
        <v>2200</v>
      </c>
      <c r="L84">
        <v>150</v>
      </c>
    </row>
    <row r="85" spans="2:13" ht="15.75" thickBot="1">
      <c r="C85" s="25" t="s">
        <v>82</v>
      </c>
      <c r="E85" s="60">
        <v>3</v>
      </c>
      <c r="I85" s="58">
        <v>3</v>
      </c>
      <c r="J85">
        <v>3250</v>
      </c>
      <c r="K85">
        <v>2400</v>
      </c>
      <c r="L85">
        <v>162</v>
      </c>
    </row>
    <row r="86" spans="2:13" ht="15.75" thickBot="1">
      <c r="C86" s="37"/>
      <c r="I86" s="58">
        <v>4</v>
      </c>
      <c r="J86">
        <v>4000</v>
      </c>
      <c r="K86">
        <v>3100</v>
      </c>
      <c r="L86">
        <v>200</v>
      </c>
    </row>
    <row r="87" spans="2:13" ht="15.75" thickBot="1">
      <c r="C87" s="25" t="s">
        <v>80</v>
      </c>
      <c r="E87" s="61">
        <f>VLOOKUP(E85,I83:L92,4)</f>
        <v>162</v>
      </c>
      <c r="I87" s="58">
        <v>5</v>
      </c>
      <c r="J87">
        <v>4500</v>
      </c>
      <c r="K87">
        <v>3300</v>
      </c>
      <c r="L87">
        <v>225</v>
      </c>
    </row>
    <row r="88" spans="2:13">
      <c r="I88" s="58">
        <v>6</v>
      </c>
      <c r="J88">
        <v>5200</v>
      </c>
      <c r="K88">
        <v>3900</v>
      </c>
      <c r="L88">
        <v>260</v>
      </c>
    </row>
    <row r="89" spans="2:13">
      <c r="I89" s="58">
        <v>7</v>
      </c>
      <c r="J89">
        <v>5900</v>
      </c>
      <c r="K89">
        <v>4400</v>
      </c>
      <c r="L89">
        <v>295</v>
      </c>
    </row>
    <row r="90" spans="2:13">
      <c r="I90" s="58">
        <v>8</v>
      </c>
      <c r="J90">
        <v>6500</v>
      </c>
      <c r="K90">
        <v>4800</v>
      </c>
      <c r="L90">
        <v>325</v>
      </c>
    </row>
    <row r="91" spans="2:13">
      <c r="I91" s="58">
        <v>9</v>
      </c>
      <c r="J91">
        <v>8000</v>
      </c>
      <c r="K91">
        <v>6000</v>
      </c>
      <c r="L91">
        <v>400</v>
      </c>
    </row>
    <row r="92" spans="2:13">
      <c r="I92" s="58">
        <v>10</v>
      </c>
      <c r="J92">
        <v>9250</v>
      </c>
      <c r="K92">
        <v>6900</v>
      </c>
      <c r="L92">
        <v>475</v>
      </c>
    </row>
  </sheetData>
  <mergeCells count="4">
    <mergeCell ref="D20:E20"/>
    <mergeCell ref="D43:E43"/>
    <mergeCell ref="D68:E68"/>
    <mergeCell ref="D78:E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H74"/>
  <sheetViews>
    <sheetView tabSelected="1" topLeftCell="A4" workbookViewId="0">
      <selection activeCell="D25" sqref="D25"/>
    </sheetView>
  </sheetViews>
  <sheetFormatPr defaultRowHeight="15"/>
  <cols>
    <col min="1" max="1" width="6.42578125" customWidth="1"/>
    <col min="2" max="2" width="3.7109375" customWidth="1"/>
    <col min="3" max="3" width="9.85546875" customWidth="1"/>
    <col min="4" max="4" width="31.5703125" customWidth="1"/>
    <col min="5" max="5" width="9.140625" customWidth="1"/>
  </cols>
  <sheetData>
    <row r="2" spans="2:5" ht="23.25">
      <c r="B2" s="1" t="s">
        <v>0</v>
      </c>
    </row>
    <row r="4" spans="2:5">
      <c r="B4" s="2" t="s">
        <v>1</v>
      </c>
      <c r="D4" t="s">
        <v>49</v>
      </c>
      <c r="E4" s="3">
        <v>4000</v>
      </c>
    </row>
    <row r="5" spans="2:5">
      <c r="D5" t="s">
        <v>3</v>
      </c>
      <c r="E5" s="4">
        <v>7.4999999999999997E-2</v>
      </c>
    </row>
    <row r="6" spans="2:5">
      <c r="D6" t="s">
        <v>50</v>
      </c>
      <c r="E6" s="42">
        <v>5</v>
      </c>
    </row>
    <row r="7" spans="2:5">
      <c r="D7" t="s">
        <v>51</v>
      </c>
      <c r="E7" s="3">
        <v>6000</v>
      </c>
    </row>
    <row r="9" spans="2:5">
      <c r="C9" t="s">
        <v>52</v>
      </c>
    </row>
    <row r="10" spans="2:5">
      <c r="C10" t="s">
        <v>53</v>
      </c>
    </row>
    <row r="11" spans="2:5">
      <c r="C11" t="s">
        <v>54</v>
      </c>
    </row>
    <row r="12" spans="2:5" ht="15.75" thickBot="1"/>
    <row r="13" spans="2:5" ht="15.75" thickBot="1">
      <c r="D13" s="89">
        <f>-PV(E5/12,E6*12,E4,E7)</f>
        <v>203749.78367124006</v>
      </c>
    </row>
    <row r="15" spans="2:5">
      <c r="B15" s="2" t="s">
        <v>9</v>
      </c>
      <c r="D15" t="s">
        <v>28</v>
      </c>
      <c r="E15" s="3">
        <v>25000</v>
      </c>
    </row>
    <row r="16" spans="2:5">
      <c r="D16" t="s">
        <v>49</v>
      </c>
      <c r="E16" s="3">
        <v>4000</v>
      </c>
    </row>
    <row r="17" spans="2:8">
      <c r="D17" t="s">
        <v>3</v>
      </c>
      <c r="E17" s="4">
        <v>7.4999999999999997E-2</v>
      </c>
    </row>
    <row r="19" spans="2:8">
      <c r="C19" t="s">
        <v>55</v>
      </c>
    </row>
    <row r="20" spans="2:8">
      <c r="C20" t="s">
        <v>56</v>
      </c>
    </row>
    <row r="21" spans="2:8">
      <c r="C21" t="s">
        <v>57</v>
      </c>
    </row>
    <row r="22" spans="2:8">
      <c r="C22" t="s">
        <v>58</v>
      </c>
    </row>
    <row r="23" spans="2:8" ht="15.75" thickBot="1"/>
    <row r="24" spans="2:8" ht="15.75" thickBot="1">
      <c r="D24" s="43">
        <f>NPER(E17/12,E16,-E15)/12</f>
        <v>0.53293730277882456</v>
      </c>
      <c r="H24" s="31"/>
    </row>
    <row r="26" spans="2:8" ht="15.75" thickBot="1"/>
    <row r="27" spans="2:8" ht="15.75" thickBot="1">
      <c r="B27" s="2" t="s">
        <v>21</v>
      </c>
      <c r="D27" s="7" t="s">
        <v>12</v>
      </c>
      <c r="E27" s="8" t="s">
        <v>13</v>
      </c>
    </row>
    <row r="28" spans="2:8">
      <c r="D28" s="44">
        <v>1</v>
      </c>
      <c r="E28" s="45">
        <v>0</v>
      </c>
    </row>
    <row r="29" spans="2:8">
      <c r="D29" s="11">
        <v>2</v>
      </c>
      <c r="E29" s="46">
        <v>1000</v>
      </c>
    </row>
    <row r="30" spans="2:8">
      <c r="D30" s="11">
        <v>3</v>
      </c>
      <c r="E30" s="46">
        <v>1250</v>
      </c>
    </row>
    <row r="31" spans="2:8">
      <c r="D31" s="11">
        <v>4</v>
      </c>
      <c r="E31" s="46">
        <v>1500</v>
      </c>
    </row>
    <row r="32" spans="2:8">
      <c r="D32" s="11">
        <v>5</v>
      </c>
      <c r="E32" s="46">
        <v>0</v>
      </c>
    </row>
    <row r="33" spans="3:5">
      <c r="D33" s="11">
        <v>6</v>
      </c>
      <c r="E33" s="46">
        <v>0</v>
      </c>
    </row>
    <row r="34" spans="3:5">
      <c r="D34" s="11">
        <v>7</v>
      </c>
      <c r="E34" s="46">
        <v>5000</v>
      </c>
    </row>
    <row r="35" spans="3:5">
      <c r="D35" s="11">
        <v>8</v>
      </c>
      <c r="E35" s="46">
        <v>6500</v>
      </c>
    </row>
    <row r="36" spans="3:5">
      <c r="D36" s="11">
        <v>9</v>
      </c>
      <c r="E36" s="46">
        <v>0</v>
      </c>
    </row>
    <row r="37" spans="3:5" ht="15.75" thickBot="1">
      <c r="D37" s="47">
        <v>10</v>
      </c>
      <c r="E37" s="48">
        <v>0</v>
      </c>
    </row>
    <row r="39" spans="3:5">
      <c r="D39" t="s">
        <v>59</v>
      </c>
      <c r="E39" s="3">
        <v>8000</v>
      </c>
    </row>
    <row r="40" spans="3:5">
      <c r="D40" t="s">
        <v>60</v>
      </c>
      <c r="E40" s="4">
        <v>0.09</v>
      </c>
    </row>
    <row r="42" spans="3:5">
      <c r="C42" t="s">
        <v>61</v>
      </c>
    </row>
    <row r="43" spans="3:5">
      <c r="C43" t="s">
        <v>62</v>
      </c>
      <c r="D43" s="6"/>
    </row>
    <row r="44" spans="3:5">
      <c r="C44" t="s">
        <v>63</v>
      </c>
    </row>
    <row r="45" spans="3:5">
      <c r="C45" t="s">
        <v>64</v>
      </c>
    </row>
    <row r="46" spans="3:5" ht="15.75" thickBot="1"/>
    <row r="47" spans="3:5" ht="15.75" thickBot="1">
      <c r="D47" s="90">
        <f>NPV(E40,E28:E37)-E39</f>
        <v>866.84920203026377</v>
      </c>
    </row>
    <row r="49" spans="2:5">
      <c r="B49" s="2" t="s">
        <v>24</v>
      </c>
      <c r="C49" t="s">
        <v>70</v>
      </c>
    </row>
    <row r="51" spans="2:5">
      <c r="C51" s="34" t="s">
        <v>71</v>
      </c>
      <c r="E51" s="3">
        <v>200000</v>
      </c>
    </row>
    <row r="52" spans="2:5">
      <c r="C52" s="34" t="s">
        <v>36</v>
      </c>
      <c r="E52" s="5">
        <v>20</v>
      </c>
    </row>
    <row r="53" spans="2:5">
      <c r="C53" s="34" t="s">
        <v>45</v>
      </c>
      <c r="E53" s="4">
        <v>0.125</v>
      </c>
    </row>
    <row r="54" spans="2:5">
      <c r="C54" s="34" t="s">
        <v>30</v>
      </c>
      <c r="E54" s="3">
        <v>50000</v>
      </c>
    </row>
    <row r="56" spans="2:5">
      <c r="C56" s="37" t="s">
        <v>72</v>
      </c>
    </row>
    <row r="58" spans="2:5">
      <c r="C58" t="s">
        <v>73</v>
      </c>
    </row>
    <row r="59" spans="2:5">
      <c r="C59" t="s">
        <v>74</v>
      </c>
    </row>
    <row r="60" spans="2:5">
      <c r="C60" t="s">
        <v>75</v>
      </c>
    </row>
    <row r="61" spans="2:5" ht="15.75" thickBot="1"/>
    <row r="62" spans="2:5" ht="15.75" thickBot="1">
      <c r="D62" s="93">
        <f>PMT(E53/12,E52*12,-E51,E54)*E52*12+E54-E51</f>
        <v>384010.59789717256</v>
      </c>
      <c r="E62" s="94"/>
    </row>
    <row r="65" spans="2:4">
      <c r="B65" s="2" t="s">
        <v>25</v>
      </c>
      <c r="C65" t="s">
        <v>76</v>
      </c>
    </row>
    <row r="66" spans="2:4">
      <c r="C66" t="s">
        <v>77</v>
      </c>
    </row>
    <row r="67" spans="2:4" ht="15.75" thickBot="1"/>
    <row r="68" spans="2:4" ht="15.75" thickBot="1">
      <c r="C68" s="50" t="s">
        <v>12</v>
      </c>
      <c r="D68" s="51" t="s">
        <v>78</v>
      </c>
    </row>
    <row r="69" spans="2:4">
      <c r="C69" s="52">
        <v>2005</v>
      </c>
      <c r="D69" s="53">
        <v>1520000</v>
      </c>
    </row>
    <row r="70" spans="2:4">
      <c r="C70" s="54">
        <v>2006</v>
      </c>
      <c r="D70" s="55">
        <v>1865000</v>
      </c>
    </row>
    <row r="71" spans="2:4">
      <c r="C71" s="54">
        <v>2007</v>
      </c>
      <c r="D71" s="55">
        <v>2175000</v>
      </c>
    </row>
    <row r="72" spans="2:4">
      <c r="C72" s="54">
        <v>2008</v>
      </c>
      <c r="D72" s="55">
        <v>3145000</v>
      </c>
    </row>
    <row r="73" spans="2:4">
      <c r="C73" s="54">
        <v>2009</v>
      </c>
      <c r="D73" s="55">
        <v>3625000</v>
      </c>
    </row>
    <row r="74" spans="2:4" ht="21" customHeight="1" thickBot="1">
      <c r="C74" s="56">
        <v>2010</v>
      </c>
      <c r="D74" s="57">
        <f>TREND(D69:D73,C69:C73,C74)</f>
        <v>4113000</v>
      </c>
    </row>
  </sheetData>
  <mergeCells count="1">
    <mergeCell ref="D62:E6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B27:L76"/>
  <sheetViews>
    <sheetView topLeftCell="A37" zoomScale="115" zoomScaleNormal="115" workbookViewId="0">
      <selection activeCell="K49" sqref="K49"/>
    </sheetView>
  </sheetViews>
  <sheetFormatPr defaultColWidth="8.7109375" defaultRowHeight="15"/>
  <cols>
    <col min="1" max="1" width="6.140625" style="63" customWidth="1"/>
    <col min="2" max="2" width="4" style="62" customWidth="1"/>
    <col min="3" max="3" width="30.7109375" style="62" customWidth="1"/>
    <col min="4" max="4" width="17" style="63" customWidth="1"/>
    <col min="5" max="6" width="14.5703125" style="63" customWidth="1"/>
    <col min="7" max="16384" width="8.7109375" style="63"/>
  </cols>
  <sheetData>
    <row r="27" spans="3:6" ht="15.75" thickBot="1"/>
    <row r="28" spans="3:6" ht="19.5" customHeight="1" thickBot="1">
      <c r="C28" s="99" t="s">
        <v>138</v>
      </c>
      <c r="D28" s="100"/>
      <c r="E28" s="100"/>
      <c r="F28" s="100"/>
    </row>
    <row r="29" spans="3:6" ht="15.95" customHeight="1">
      <c r="C29" s="79" t="s">
        <v>131</v>
      </c>
      <c r="F29" s="83">
        <v>0.12</v>
      </c>
    </row>
    <row r="30" spans="3:6">
      <c r="C30" s="79" t="s">
        <v>134</v>
      </c>
      <c r="F30" s="83">
        <v>5.3999999999999999E-2</v>
      </c>
    </row>
    <row r="31" spans="3:6">
      <c r="C31" s="79" t="s">
        <v>133</v>
      </c>
      <c r="F31" s="83">
        <v>9.5000000000000001E-2</v>
      </c>
    </row>
    <row r="32" spans="3:6">
      <c r="C32" s="79" t="s">
        <v>132</v>
      </c>
      <c r="F32" s="82">
        <v>0.35</v>
      </c>
    </row>
    <row r="33" spans="3:12">
      <c r="C33" s="79" t="s">
        <v>135</v>
      </c>
      <c r="F33" s="78">
        <v>25000</v>
      </c>
    </row>
    <row r="34" spans="3:12">
      <c r="C34" s="79" t="s">
        <v>136</v>
      </c>
      <c r="F34" s="78">
        <v>250000</v>
      </c>
    </row>
    <row r="35" spans="3:12">
      <c r="C35" s="79" t="s">
        <v>137</v>
      </c>
      <c r="F35" s="78">
        <v>50000</v>
      </c>
    </row>
    <row r="36" spans="3:12" ht="7.5" customHeight="1" thickBot="1">
      <c r="C36" s="80"/>
      <c r="D36" s="66"/>
      <c r="E36" s="66"/>
      <c r="F36" s="81"/>
    </row>
    <row r="37" spans="3:12">
      <c r="C37" s="79"/>
      <c r="F37" s="78"/>
    </row>
    <row r="38" spans="3:12" ht="21.75" thickBot="1">
      <c r="C38" s="98" t="s">
        <v>86</v>
      </c>
      <c r="D38" s="98"/>
      <c r="E38" s="98"/>
      <c r="F38" s="98"/>
    </row>
    <row r="39" spans="3:12" ht="19.5" customHeight="1" thickBot="1">
      <c r="C39" s="72"/>
      <c r="D39" s="72" t="s">
        <v>87</v>
      </c>
      <c r="E39" s="72" t="s">
        <v>88</v>
      </c>
      <c r="F39" s="72" t="s">
        <v>89</v>
      </c>
    </row>
    <row r="40" spans="3:12" ht="17.25" customHeight="1">
      <c r="C40" s="73" t="s">
        <v>78</v>
      </c>
      <c r="D40" s="63">
        <v>2924000</v>
      </c>
      <c r="E40" s="63">
        <v>3316000</v>
      </c>
      <c r="F40" s="91">
        <f>E40*(1+F29)</f>
        <v>3713920.0000000005</v>
      </c>
    </row>
    <row r="41" spans="3:12" ht="17.25">
      <c r="C41" s="76" t="s">
        <v>90</v>
      </c>
      <c r="D41" s="65">
        <v>2440000</v>
      </c>
      <c r="E41" s="65">
        <v>2799000</v>
      </c>
      <c r="F41" s="65">
        <f>$F$40*J41*0.9</f>
        <v>2805321.2257181946</v>
      </c>
      <c r="H41" s="92">
        <f>D41/D$40</f>
        <v>0.83447332421340625</v>
      </c>
      <c r="I41" s="92">
        <f>E41/E$40</f>
        <v>0.84408926417370322</v>
      </c>
      <c r="J41" s="92">
        <f>AVERAGE(H41:I41)</f>
        <v>0.83928129419355479</v>
      </c>
      <c r="L41"/>
    </row>
    <row r="42" spans="3:12">
      <c r="C42" s="74" t="s">
        <v>91</v>
      </c>
      <c r="D42" s="63">
        <v>484000</v>
      </c>
      <c r="E42" s="63">
        <v>517000</v>
      </c>
      <c r="F42" s="63">
        <f>F40-F41</f>
        <v>908598.77428180585</v>
      </c>
    </row>
    <row r="43" spans="3:12">
      <c r="C43" s="73" t="s">
        <v>92</v>
      </c>
      <c r="D43" s="63">
        <v>204000</v>
      </c>
      <c r="E43" s="63">
        <v>284000</v>
      </c>
      <c r="F43" s="63">
        <f>$F$40*J43</f>
        <v>288595.34883720934</v>
      </c>
      <c r="H43" s="92">
        <f>D43/D$40</f>
        <v>6.9767441860465115E-2</v>
      </c>
      <c r="I43" s="92">
        <f>E43/E$40</f>
        <v>8.5645355850422197E-2</v>
      </c>
      <c r="J43" s="92">
        <f>AVERAGE(H43:I43)</f>
        <v>7.7706398855443656E-2</v>
      </c>
    </row>
    <row r="44" spans="3:12">
      <c r="C44" s="73" t="s">
        <v>93</v>
      </c>
      <c r="D44" s="63">
        <v>85000</v>
      </c>
      <c r="E44" s="63">
        <v>85000</v>
      </c>
      <c r="F44" s="63">
        <v>85000</v>
      </c>
    </row>
    <row r="45" spans="3:12" ht="17.25">
      <c r="C45" s="76" t="s">
        <v>94</v>
      </c>
      <c r="D45" s="65">
        <v>25000</v>
      </c>
      <c r="E45" s="65">
        <v>30000</v>
      </c>
      <c r="F45" s="65">
        <f>E45+F35</f>
        <v>80000</v>
      </c>
    </row>
    <row r="46" spans="3:12">
      <c r="C46" s="74" t="s">
        <v>95</v>
      </c>
      <c r="D46" s="63">
        <v>170000</v>
      </c>
      <c r="E46" s="63">
        <v>118000</v>
      </c>
      <c r="F46" s="63">
        <f>F42-F43-F44-F45</f>
        <v>455003.42544459645</v>
      </c>
    </row>
    <row r="47" spans="3:12" ht="17.25">
      <c r="C47" s="76" t="s">
        <v>96</v>
      </c>
      <c r="D47" s="65">
        <v>56000</v>
      </c>
      <c r="E47" s="65">
        <v>68000</v>
      </c>
      <c r="F47" s="65">
        <f>F30*E64+F31*E67</f>
        <v>62639</v>
      </c>
    </row>
    <row r="48" spans="3:12">
      <c r="C48" s="74" t="s">
        <v>97</v>
      </c>
      <c r="D48" s="63">
        <v>114000</v>
      </c>
      <c r="E48" s="63">
        <v>50000</v>
      </c>
      <c r="F48" s="63">
        <f>F46-F47</f>
        <v>392364.42544459645</v>
      </c>
    </row>
    <row r="49" spans="2:10" ht="17.25">
      <c r="C49" s="76" t="s">
        <v>98</v>
      </c>
      <c r="D49" s="65">
        <v>34200</v>
      </c>
      <c r="E49" s="65">
        <v>15000</v>
      </c>
      <c r="F49" s="65">
        <f>F48*F32</f>
        <v>137327.54890560874</v>
      </c>
    </row>
    <row r="50" spans="2:10" ht="15.75" thickBot="1">
      <c r="C50" s="75" t="s">
        <v>80</v>
      </c>
      <c r="D50" s="66">
        <v>79800</v>
      </c>
      <c r="E50" s="66">
        <v>35000</v>
      </c>
      <c r="F50" s="66">
        <f>F48-F49</f>
        <v>255036.87653898771</v>
      </c>
    </row>
    <row r="51" spans="2:10" ht="7.5" customHeight="1">
      <c r="C51" s="37"/>
      <c r="D51"/>
      <c r="E51"/>
      <c r="F51"/>
    </row>
    <row r="52" spans="2:10" ht="21.75" thickBot="1">
      <c r="B52" s="98" t="s">
        <v>99</v>
      </c>
      <c r="C52" s="98"/>
      <c r="D52" s="98"/>
      <c r="E52" s="98"/>
      <c r="F52" s="98"/>
    </row>
    <row r="53" spans="2:10">
      <c r="B53" s="67" t="s">
        <v>100</v>
      </c>
      <c r="C53" s="67"/>
      <c r="D53" s="64" t="s">
        <v>87</v>
      </c>
      <c r="E53" s="64" t="s">
        <v>88</v>
      </c>
      <c r="F53" s="64" t="s">
        <v>89</v>
      </c>
    </row>
    <row r="54" spans="2:10">
      <c r="B54" s="68" t="s">
        <v>101</v>
      </c>
      <c r="D54" s="63">
        <v>52000</v>
      </c>
      <c r="E54" s="63">
        <v>65000</v>
      </c>
      <c r="F54" s="63">
        <v>65000</v>
      </c>
    </row>
    <row r="55" spans="2:10">
      <c r="B55" s="68" t="s">
        <v>102</v>
      </c>
      <c r="D55" s="63">
        <v>406000</v>
      </c>
      <c r="E55" s="63">
        <v>354000</v>
      </c>
      <c r="F55" s="63">
        <f t="shared" ref="F55:F56" si="0">$F$40*J55</f>
        <v>456080.54719562252</v>
      </c>
      <c r="H55" s="92">
        <f t="shared" ref="H55:H56" si="1">D55/D$40</f>
        <v>0.13885088919288646</v>
      </c>
      <c r="I55" s="92">
        <f t="shared" ref="I55:I56" si="2">E55/E$40</f>
        <v>0.10675512665862485</v>
      </c>
      <c r="J55" s="92">
        <f t="shared" ref="J55:J56" si="3">AVERAGE(H55:I55)</f>
        <v>0.12280300792575566</v>
      </c>
    </row>
    <row r="56" spans="2:10" ht="17.25">
      <c r="B56" s="68" t="s">
        <v>103</v>
      </c>
      <c r="D56" s="65">
        <v>854000</v>
      </c>
      <c r="E56" s="65">
        <v>988000</v>
      </c>
      <c r="F56" s="65">
        <f t="shared" si="0"/>
        <v>1095634.2544459647</v>
      </c>
      <c r="H56" s="92">
        <f t="shared" si="1"/>
        <v>0.29206566347469221</v>
      </c>
      <c r="I56" s="92">
        <f t="shared" si="2"/>
        <v>0.29794933655006034</v>
      </c>
      <c r="J56" s="92">
        <f t="shared" si="3"/>
        <v>0.2950075000123763</v>
      </c>
    </row>
    <row r="57" spans="2:10">
      <c r="B57" s="69" t="s">
        <v>104</v>
      </c>
      <c r="D57" s="63">
        <v>1312000</v>
      </c>
      <c r="E57" s="63">
        <v>1407000</v>
      </c>
      <c r="F57" s="63">
        <f>SUM(F54:F56)</f>
        <v>1616714.8016415872</v>
      </c>
    </row>
    <row r="58" spans="2:10">
      <c r="B58" s="68" t="s">
        <v>105</v>
      </c>
      <c r="D58" s="63">
        <v>429000</v>
      </c>
      <c r="E58" s="63">
        <v>580000</v>
      </c>
      <c r="F58" s="63">
        <f>E58+F34</f>
        <v>830000</v>
      </c>
    </row>
    <row r="59" spans="2:10" ht="17.25">
      <c r="B59" s="68" t="s">
        <v>106</v>
      </c>
      <c r="D59" s="65">
        <v>126000</v>
      </c>
      <c r="E59" s="65">
        <v>193000</v>
      </c>
      <c r="F59" s="65">
        <f>E59+F45</f>
        <v>273000</v>
      </c>
    </row>
    <row r="60" spans="2:10" ht="17.25">
      <c r="B60" s="69" t="s">
        <v>107</v>
      </c>
      <c r="D60" s="65">
        <v>303000</v>
      </c>
      <c r="E60" s="65">
        <v>387000</v>
      </c>
      <c r="F60" s="65">
        <f>F58-F59</f>
        <v>557000</v>
      </c>
    </row>
    <row r="61" spans="2:10" ht="15.75" thickBot="1">
      <c r="B61" s="69" t="s">
        <v>108</v>
      </c>
      <c r="D61" s="63">
        <v>1615000</v>
      </c>
      <c r="E61" s="63">
        <v>1794000</v>
      </c>
      <c r="F61" s="63">
        <f>F57+F60</f>
        <v>2173714.8016415872</v>
      </c>
    </row>
    <row r="62" spans="2:10" ht="15.95" customHeight="1">
      <c r="B62" s="67" t="s">
        <v>109</v>
      </c>
      <c r="C62" s="67"/>
      <c r="D62" s="64"/>
      <c r="E62" s="64"/>
      <c r="F62" s="64"/>
    </row>
    <row r="63" spans="2:10">
      <c r="B63" s="68" t="s">
        <v>110</v>
      </c>
      <c r="D63" s="63">
        <v>130000</v>
      </c>
      <c r="E63" s="63">
        <v>150000</v>
      </c>
      <c r="F63" s="63">
        <f t="shared" ref="F63" si="4">$F$40*J63</f>
        <v>166559.78112175106</v>
      </c>
      <c r="H63" s="92">
        <f t="shared" ref="H63" si="5">D63/D$40</f>
        <v>4.4459644322845417E-2</v>
      </c>
      <c r="I63" s="92">
        <f t="shared" ref="I63" si="6">E63/E$40</f>
        <v>4.5235223160434261E-2</v>
      </c>
      <c r="J63" s="92">
        <f t="shared" ref="J63" si="7">AVERAGE(H63:I63)</f>
        <v>4.4847433741639839E-2</v>
      </c>
    </row>
    <row r="64" spans="2:10">
      <c r="B64" s="68" t="s">
        <v>111</v>
      </c>
      <c r="D64" s="63">
        <v>179000</v>
      </c>
      <c r="E64" s="63">
        <v>261000</v>
      </c>
      <c r="F64" s="63">
        <v>245000</v>
      </c>
    </row>
    <row r="65" spans="2:6" ht="17.25">
      <c r="B65" s="68" t="s">
        <v>112</v>
      </c>
      <c r="D65" s="65">
        <v>118000</v>
      </c>
      <c r="E65" s="65">
        <v>168000</v>
      </c>
      <c r="F65" s="65">
        <v>186000</v>
      </c>
    </row>
    <row r="66" spans="2:6">
      <c r="B66" s="69" t="s">
        <v>113</v>
      </c>
      <c r="D66" s="63">
        <v>427000</v>
      </c>
      <c r="E66" s="63">
        <v>579000</v>
      </c>
      <c r="F66" s="63">
        <f>SUM(F63:F65)</f>
        <v>597559.78112175106</v>
      </c>
    </row>
    <row r="67" spans="2:6" ht="17.25">
      <c r="B67" s="68" t="s">
        <v>114</v>
      </c>
      <c r="D67" s="65">
        <v>614000</v>
      </c>
      <c r="E67" s="65">
        <v>511000</v>
      </c>
      <c r="F67" s="65">
        <v>511000</v>
      </c>
    </row>
    <row r="68" spans="2:6">
      <c r="B68" s="69" t="s">
        <v>115</v>
      </c>
      <c r="D68" s="63">
        <v>1041000</v>
      </c>
      <c r="E68" s="63">
        <v>1090000</v>
      </c>
      <c r="F68" s="63">
        <f>SUM(F66:F67)</f>
        <v>1108559.7811217511</v>
      </c>
    </row>
    <row r="69" spans="2:6">
      <c r="B69" s="68" t="s">
        <v>116</v>
      </c>
      <c r="D69" s="63">
        <v>395000</v>
      </c>
      <c r="E69" s="63">
        <v>510000</v>
      </c>
      <c r="F69" s="63">
        <v>510000</v>
      </c>
    </row>
    <row r="70" spans="2:6" ht="17.25">
      <c r="B70" s="68" t="s">
        <v>117</v>
      </c>
      <c r="D70" s="65">
        <v>179000</v>
      </c>
      <c r="E70" s="65">
        <v>194000</v>
      </c>
      <c r="F70" s="65">
        <f>E70+F50-F33</f>
        <v>424036.87653898774</v>
      </c>
    </row>
    <row r="71" spans="2:6" ht="17.25">
      <c r="B71" s="69" t="s">
        <v>118</v>
      </c>
      <c r="D71" s="65">
        <v>574000</v>
      </c>
      <c r="E71" s="65">
        <v>741000</v>
      </c>
      <c r="F71" s="65">
        <f>SUM(F69:F70)</f>
        <v>934036.87653898774</v>
      </c>
    </row>
    <row r="72" spans="2:6" ht="15.75" thickBot="1">
      <c r="B72" s="70" t="s">
        <v>119</v>
      </c>
      <c r="C72" s="71"/>
      <c r="D72" s="66">
        <v>1615000</v>
      </c>
      <c r="E72" s="66">
        <v>1794000</v>
      </c>
      <c r="F72" s="66">
        <f>F71+F68</f>
        <v>2042596.6576607388</v>
      </c>
    </row>
    <row r="73" spans="2:6" ht="6" customHeight="1"/>
    <row r="74" spans="2:6" ht="4.5" customHeight="1" thickBot="1"/>
    <row r="75" spans="2:6" ht="15.75" thickBot="1">
      <c r="C75" s="62" t="s">
        <v>139</v>
      </c>
      <c r="F75" s="21">
        <f>F72-F61</f>
        <v>-131118.14398084837</v>
      </c>
    </row>
    <row r="76" spans="2:6" ht="10.5" customHeight="1" thickBot="1">
      <c r="B76" s="71"/>
      <c r="C76" s="71"/>
      <c r="D76" s="66"/>
      <c r="E76" s="66"/>
      <c r="F76" s="66"/>
    </row>
  </sheetData>
  <mergeCells count="3">
    <mergeCell ref="C38:F38"/>
    <mergeCell ref="B52:F52"/>
    <mergeCell ref="C28:F2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B27:L76"/>
  <sheetViews>
    <sheetView topLeftCell="A34" workbookViewId="0">
      <selection activeCell="L7" sqref="L7"/>
    </sheetView>
  </sheetViews>
  <sheetFormatPr defaultColWidth="8.7109375" defaultRowHeight="15"/>
  <cols>
    <col min="1" max="1" width="6.140625" style="63" customWidth="1"/>
    <col min="2" max="2" width="4" style="62" customWidth="1"/>
    <col min="3" max="3" width="30.7109375" style="62" customWidth="1"/>
    <col min="4" max="4" width="17" style="63" customWidth="1"/>
    <col min="5" max="6" width="14.5703125" style="63" customWidth="1"/>
    <col min="7" max="16384" width="8.7109375" style="63"/>
  </cols>
  <sheetData>
    <row r="27" spans="3:6" ht="15.75" thickBot="1"/>
    <row r="28" spans="3:6" ht="15.75" thickBot="1">
      <c r="C28" s="99" t="s">
        <v>138</v>
      </c>
      <c r="D28" s="100"/>
      <c r="E28" s="100"/>
      <c r="F28" s="100"/>
    </row>
    <row r="29" spans="3:6">
      <c r="C29" s="79" t="s">
        <v>131</v>
      </c>
      <c r="F29" s="83">
        <v>-2.9520850684881507E-2</v>
      </c>
    </row>
    <row r="30" spans="3:6">
      <c r="C30" s="79" t="s">
        <v>134</v>
      </c>
      <c r="F30" s="83">
        <v>5.3999999999999999E-2</v>
      </c>
    </row>
    <row r="31" spans="3:6">
      <c r="C31" s="79" t="s">
        <v>133</v>
      </c>
      <c r="F31" s="83">
        <v>9.5000000000000001E-2</v>
      </c>
    </row>
    <row r="32" spans="3:6">
      <c r="C32" s="79" t="s">
        <v>132</v>
      </c>
      <c r="F32" s="82">
        <v>0.35</v>
      </c>
    </row>
    <row r="33" spans="3:12">
      <c r="C33" s="79" t="s">
        <v>135</v>
      </c>
      <c r="F33" s="78">
        <v>25000</v>
      </c>
    </row>
    <row r="34" spans="3:12">
      <c r="C34" s="79" t="s">
        <v>136</v>
      </c>
      <c r="F34" s="78">
        <v>250000</v>
      </c>
    </row>
    <row r="35" spans="3:12">
      <c r="C35" s="79" t="s">
        <v>137</v>
      </c>
      <c r="F35" s="78">
        <v>50000</v>
      </c>
    </row>
    <row r="36" spans="3:12" ht="15.75" thickBot="1">
      <c r="C36" s="80"/>
      <c r="D36" s="66"/>
      <c r="E36" s="66"/>
      <c r="F36" s="81"/>
    </row>
    <row r="37" spans="3:12">
      <c r="C37" s="79"/>
      <c r="F37" s="78"/>
    </row>
    <row r="38" spans="3:12" ht="21.75" thickBot="1">
      <c r="C38" s="98" t="s">
        <v>86</v>
      </c>
      <c r="D38" s="98"/>
      <c r="E38" s="98"/>
      <c r="F38" s="98"/>
    </row>
    <row r="39" spans="3:12" ht="15.75" thickBot="1">
      <c r="C39" s="72"/>
      <c r="D39" s="72" t="s">
        <v>87</v>
      </c>
      <c r="E39" s="72" t="s">
        <v>88</v>
      </c>
      <c r="F39" s="72" t="s">
        <v>89</v>
      </c>
    </row>
    <row r="40" spans="3:12">
      <c r="C40" s="73" t="s">
        <v>78</v>
      </c>
      <c r="D40" s="63">
        <v>2924000</v>
      </c>
      <c r="E40" s="63">
        <v>3316000</v>
      </c>
      <c r="F40" s="91">
        <f>E40*(1+F29)</f>
        <v>3218108.8591289329</v>
      </c>
    </row>
    <row r="41" spans="3:12" ht="17.25">
      <c r="C41" s="76" t="s">
        <v>90</v>
      </c>
      <c r="D41" s="65">
        <v>2440000</v>
      </c>
      <c r="E41" s="65">
        <v>2799000</v>
      </c>
      <c r="F41" s="65">
        <f>$F$40*J41*0.9</f>
        <v>2430808.7113309274</v>
      </c>
      <c r="H41" s="92">
        <f>D41/D$40</f>
        <v>0.83447332421340625</v>
      </c>
      <c r="I41" s="92">
        <f>E41/E$40</f>
        <v>0.84408926417370322</v>
      </c>
      <c r="J41" s="92">
        <f>AVERAGE(H41:I41)</f>
        <v>0.83928129419355479</v>
      </c>
      <c r="L41"/>
    </row>
    <row r="42" spans="3:12">
      <c r="C42" s="74" t="s">
        <v>91</v>
      </c>
      <c r="D42" s="63">
        <v>484000</v>
      </c>
      <c r="E42" s="63">
        <v>517000</v>
      </c>
      <c r="F42" s="63">
        <f>F40-F41</f>
        <v>787300.14779800549</v>
      </c>
    </row>
    <row r="43" spans="3:12">
      <c r="C43" s="73" t="s">
        <v>92</v>
      </c>
      <c r="D43" s="63">
        <v>204000</v>
      </c>
      <c r="E43" s="63">
        <v>284000</v>
      </c>
      <c r="F43" s="63">
        <f>$F$40*J43</f>
        <v>250067.65056770961</v>
      </c>
      <c r="H43" s="92">
        <f>D43/D$40</f>
        <v>6.9767441860465115E-2</v>
      </c>
      <c r="I43" s="92">
        <f>E43/E$40</f>
        <v>8.5645355850422197E-2</v>
      </c>
      <c r="J43" s="92">
        <f>AVERAGE(H43:I43)</f>
        <v>7.7706398855443656E-2</v>
      </c>
    </row>
    <row r="44" spans="3:12">
      <c r="C44" s="73" t="s">
        <v>93</v>
      </c>
      <c r="D44" s="63">
        <v>85000</v>
      </c>
      <c r="E44" s="63">
        <v>85000</v>
      </c>
      <c r="F44" s="63">
        <v>85000</v>
      </c>
    </row>
    <row r="45" spans="3:12" ht="17.25">
      <c r="C45" s="76" t="s">
        <v>94</v>
      </c>
      <c r="D45" s="65">
        <v>25000</v>
      </c>
      <c r="E45" s="65">
        <v>30000</v>
      </c>
      <c r="F45" s="65">
        <f>E45+F35</f>
        <v>80000</v>
      </c>
    </row>
    <row r="46" spans="3:12">
      <c r="C46" s="74" t="s">
        <v>95</v>
      </c>
      <c r="D46" s="63">
        <v>170000</v>
      </c>
      <c r="E46" s="63">
        <v>118000</v>
      </c>
      <c r="F46" s="63">
        <f>F42-F43-F44-F45</f>
        <v>372232.49723029591</v>
      </c>
    </row>
    <row r="47" spans="3:12" ht="17.25">
      <c r="C47" s="76" t="s">
        <v>96</v>
      </c>
      <c r="D47" s="65">
        <v>56000</v>
      </c>
      <c r="E47" s="65">
        <v>68000</v>
      </c>
      <c r="F47" s="65">
        <f>F30*E64+F31*E67</f>
        <v>62639</v>
      </c>
    </row>
    <row r="48" spans="3:12">
      <c r="C48" s="74" t="s">
        <v>97</v>
      </c>
      <c r="D48" s="63">
        <v>114000</v>
      </c>
      <c r="E48" s="63">
        <v>50000</v>
      </c>
      <c r="F48" s="63">
        <f>F46-F47</f>
        <v>309593.49723029591</v>
      </c>
    </row>
    <row r="49" spans="2:10" ht="17.25">
      <c r="C49" s="76" t="s">
        <v>98</v>
      </c>
      <c r="D49" s="65">
        <v>34200</v>
      </c>
      <c r="E49" s="65">
        <v>15000</v>
      </c>
      <c r="F49" s="65">
        <f>F48*F32</f>
        <v>108357.72403060357</v>
      </c>
    </row>
    <row r="50" spans="2:10" ht="15.75" thickBot="1">
      <c r="C50" s="75" t="s">
        <v>80</v>
      </c>
      <c r="D50" s="66">
        <v>79800</v>
      </c>
      <c r="E50" s="66">
        <v>35000</v>
      </c>
      <c r="F50" s="66">
        <f>F48-F49</f>
        <v>201235.77319969234</v>
      </c>
    </row>
    <row r="51" spans="2:10">
      <c r="C51" s="37"/>
      <c r="D51"/>
      <c r="E51"/>
      <c r="F51"/>
    </row>
    <row r="52" spans="2:10" ht="21.75" thickBot="1">
      <c r="B52" s="98" t="s">
        <v>99</v>
      </c>
      <c r="C52" s="98"/>
      <c r="D52" s="98"/>
      <c r="E52" s="98"/>
      <c r="F52" s="98"/>
    </row>
    <row r="53" spans="2:10">
      <c r="B53" s="67" t="s">
        <v>100</v>
      </c>
      <c r="C53" s="67"/>
      <c r="D53" s="64" t="s">
        <v>87</v>
      </c>
      <c r="E53" s="64" t="s">
        <v>88</v>
      </c>
      <c r="F53" s="64" t="s">
        <v>89</v>
      </c>
    </row>
    <row r="54" spans="2:10">
      <c r="B54" s="68" t="s">
        <v>101</v>
      </c>
      <c r="D54" s="63">
        <v>52000</v>
      </c>
      <c r="E54" s="63">
        <v>65000</v>
      </c>
      <c r="F54" s="63">
        <v>65000</v>
      </c>
    </row>
    <row r="55" spans="2:10">
      <c r="B55" s="68" t="s">
        <v>102</v>
      </c>
      <c r="D55" s="63">
        <v>406000</v>
      </c>
      <c r="E55" s="63">
        <v>354000</v>
      </c>
      <c r="F55" s="63">
        <f t="shared" ref="F55:F56" si="0">$F$40*J55</f>
        <v>395193.44773355487</v>
      </c>
      <c r="H55" s="92">
        <f t="shared" ref="H55:I56" si="1">D55/D$40</f>
        <v>0.13885088919288646</v>
      </c>
      <c r="I55" s="92">
        <f t="shared" si="1"/>
        <v>0.10675512665862485</v>
      </c>
      <c r="J55" s="92">
        <f t="shared" ref="J55:J56" si="2">AVERAGE(H55:I55)</f>
        <v>0.12280300792575566</v>
      </c>
    </row>
    <row r="56" spans="2:10" ht="17.25">
      <c r="B56" s="68" t="s">
        <v>103</v>
      </c>
      <c r="D56" s="65">
        <v>854000</v>
      </c>
      <c r="E56" s="65">
        <v>988000</v>
      </c>
      <c r="F56" s="65">
        <f t="shared" si="0"/>
        <v>949366.249299307</v>
      </c>
      <c r="H56" s="92">
        <f t="shared" si="1"/>
        <v>0.29206566347469221</v>
      </c>
      <c r="I56" s="92">
        <f t="shared" si="1"/>
        <v>0.29794933655006034</v>
      </c>
      <c r="J56" s="92">
        <f t="shared" si="2"/>
        <v>0.2950075000123763</v>
      </c>
    </row>
    <row r="57" spans="2:10">
      <c r="B57" s="69" t="s">
        <v>104</v>
      </c>
      <c r="D57" s="63">
        <v>1312000</v>
      </c>
      <c r="E57" s="63">
        <v>1407000</v>
      </c>
      <c r="F57" s="63">
        <f>SUM(F54:F56)</f>
        <v>1409559.6970328619</v>
      </c>
    </row>
    <row r="58" spans="2:10">
      <c r="B58" s="68" t="s">
        <v>105</v>
      </c>
      <c r="D58" s="63">
        <v>429000</v>
      </c>
      <c r="E58" s="63">
        <v>580000</v>
      </c>
      <c r="F58" s="63">
        <f>E58+F34</f>
        <v>830000</v>
      </c>
    </row>
    <row r="59" spans="2:10" ht="17.25">
      <c r="B59" s="68" t="s">
        <v>106</v>
      </c>
      <c r="D59" s="65">
        <v>126000</v>
      </c>
      <c r="E59" s="65">
        <v>193000</v>
      </c>
      <c r="F59" s="65">
        <f>E59+F45</f>
        <v>273000</v>
      </c>
    </row>
    <row r="60" spans="2:10" ht="17.25">
      <c r="B60" s="69" t="s">
        <v>107</v>
      </c>
      <c r="D60" s="65">
        <v>303000</v>
      </c>
      <c r="E60" s="65">
        <v>387000</v>
      </c>
      <c r="F60" s="65">
        <f>F58-F59</f>
        <v>557000</v>
      </c>
    </row>
    <row r="61" spans="2:10" ht="15.75" thickBot="1">
      <c r="B61" s="69" t="s">
        <v>108</v>
      </c>
      <c r="D61" s="63">
        <v>1615000</v>
      </c>
      <c r="E61" s="63">
        <v>1794000</v>
      </c>
      <c r="F61" s="63">
        <f>F57+F60</f>
        <v>1966559.6970328619</v>
      </c>
    </row>
    <row r="62" spans="2:10">
      <c r="B62" s="67" t="s">
        <v>109</v>
      </c>
      <c r="C62" s="67"/>
      <c r="D62" s="64"/>
      <c r="E62" s="64"/>
      <c r="F62" s="64"/>
    </row>
    <row r="63" spans="2:10">
      <c r="B63" s="68" t="s">
        <v>110</v>
      </c>
      <c r="D63" s="63">
        <v>130000</v>
      </c>
      <c r="E63" s="63">
        <v>150000</v>
      </c>
      <c r="F63" s="63">
        <f t="shared" ref="F63" si="3">$F$40*J63</f>
        <v>144323.92383316898</v>
      </c>
      <c r="H63" s="92">
        <f t="shared" ref="H63:I63" si="4">D63/D$40</f>
        <v>4.4459644322845417E-2</v>
      </c>
      <c r="I63" s="92">
        <f t="shared" si="4"/>
        <v>4.5235223160434261E-2</v>
      </c>
      <c r="J63" s="92">
        <f t="shared" ref="J63" si="5">AVERAGE(H63:I63)</f>
        <v>4.4847433741639839E-2</v>
      </c>
    </row>
    <row r="64" spans="2:10">
      <c r="B64" s="68" t="s">
        <v>111</v>
      </c>
      <c r="D64" s="63">
        <v>179000</v>
      </c>
      <c r="E64" s="63">
        <v>261000</v>
      </c>
      <c r="F64" s="63">
        <v>245000</v>
      </c>
    </row>
    <row r="65" spans="2:6" ht="17.25">
      <c r="B65" s="68" t="s">
        <v>112</v>
      </c>
      <c r="D65" s="65">
        <v>118000</v>
      </c>
      <c r="E65" s="65">
        <v>168000</v>
      </c>
      <c r="F65" s="65">
        <v>186000</v>
      </c>
    </row>
    <row r="66" spans="2:6">
      <c r="B66" s="69" t="s">
        <v>113</v>
      </c>
      <c r="D66" s="63">
        <v>427000</v>
      </c>
      <c r="E66" s="63">
        <v>579000</v>
      </c>
      <c r="F66" s="63">
        <f>SUM(F63:F65)</f>
        <v>575323.92383316904</v>
      </c>
    </row>
    <row r="67" spans="2:6" ht="17.25">
      <c r="B67" s="68" t="s">
        <v>114</v>
      </c>
      <c r="D67" s="65">
        <v>614000</v>
      </c>
      <c r="E67" s="65">
        <v>511000</v>
      </c>
      <c r="F67" s="65">
        <v>511000</v>
      </c>
    </row>
    <row r="68" spans="2:6">
      <c r="B68" s="69" t="s">
        <v>115</v>
      </c>
      <c r="D68" s="63">
        <v>1041000</v>
      </c>
      <c r="E68" s="63">
        <v>1090000</v>
      </c>
      <c r="F68" s="63">
        <f>SUM(F66:F67)</f>
        <v>1086323.923833169</v>
      </c>
    </row>
    <row r="69" spans="2:6">
      <c r="B69" s="68" t="s">
        <v>116</v>
      </c>
      <c r="D69" s="63">
        <v>395000</v>
      </c>
      <c r="E69" s="63">
        <v>510000</v>
      </c>
      <c r="F69" s="63">
        <v>510000</v>
      </c>
    </row>
    <row r="70" spans="2:6" ht="17.25">
      <c r="B70" s="68" t="s">
        <v>117</v>
      </c>
      <c r="D70" s="65">
        <v>179000</v>
      </c>
      <c r="E70" s="65">
        <v>194000</v>
      </c>
      <c r="F70" s="65">
        <f>E70+F50-F33</f>
        <v>370235.77319969237</v>
      </c>
    </row>
    <row r="71" spans="2:6" ht="17.25">
      <c r="B71" s="69" t="s">
        <v>118</v>
      </c>
      <c r="D71" s="65">
        <v>574000</v>
      </c>
      <c r="E71" s="65">
        <v>741000</v>
      </c>
      <c r="F71" s="65">
        <f>SUM(F69:F70)</f>
        <v>880235.77319969237</v>
      </c>
    </row>
    <row r="72" spans="2:6" ht="15.75" thickBot="1">
      <c r="B72" s="70" t="s">
        <v>119</v>
      </c>
      <c r="C72" s="71"/>
      <c r="D72" s="66">
        <v>1615000</v>
      </c>
      <c r="E72" s="66">
        <v>1794000</v>
      </c>
      <c r="F72" s="66">
        <f>F71+F68</f>
        <v>1966559.6970328614</v>
      </c>
    </row>
    <row r="74" spans="2:6" ht="15.75" thickBot="1"/>
    <row r="75" spans="2:6" ht="15.75" thickBot="1">
      <c r="C75" s="62" t="s">
        <v>139</v>
      </c>
      <c r="F75" s="21">
        <f>F72-F61</f>
        <v>0</v>
      </c>
    </row>
    <row r="76" spans="2:6" ht="15.75" thickBot="1">
      <c r="B76" s="71"/>
      <c r="C76" s="71"/>
      <c r="D76" s="66"/>
      <c r="E76" s="66"/>
      <c r="F76" s="66"/>
    </row>
  </sheetData>
  <mergeCells count="3">
    <mergeCell ref="C28:F28"/>
    <mergeCell ref="C38:F38"/>
    <mergeCell ref="B52:F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P1 - 20 Pts</vt:lpstr>
      <vt:lpstr>P2 - 10 Pts</vt:lpstr>
      <vt:lpstr>P3 - 25 Pts</vt:lpstr>
      <vt:lpstr>P4 - 10 Pts</vt:lpstr>
      <vt:lpstr>P5 - 25 Pts</vt:lpstr>
      <vt:lpstr>P5 - No New Financing</vt:lpstr>
      <vt:lpstr>'P5 - 25 Pts'!Print_Area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dhawley</cp:lastModifiedBy>
  <cp:lastPrinted>2010-01-14T16:03:50Z</cp:lastPrinted>
  <dcterms:created xsi:type="dcterms:W3CDTF">2010-01-13T00:10:02Z</dcterms:created>
  <dcterms:modified xsi:type="dcterms:W3CDTF">2010-01-14T17:37:14Z</dcterms:modified>
</cp:coreProperties>
</file>